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1iz/xzbNZwpuV+LyyEZ212QqraLOBLhAIIOxZLwAA6I1Nn80L/HRMPV8HxeRkGVv63gTr2ygj6EnwxZDQw731A==" workbookSaltValue="NUbtB9P+XIV25djaELvV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T11" i="11" s="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T19" i="11" s="1"/>
  <c r="S13" i="11"/>
  <c r="S12" i="11"/>
  <c r="T12" i="11" s="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EL21" i="8"/>
  <c r="EQ21" i="8"/>
  <c r="EN21" i="8"/>
  <c r="K20" i="11"/>
  <c r="BA14" i="16"/>
  <c r="N10" i="11"/>
  <c r="N9" i="11"/>
  <c r="ES21" i="8"/>
  <c r="G20" i="12"/>
  <c r="AQ19" i="11"/>
  <c r="EP21" i="8"/>
  <c r="ER21" i="13"/>
  <c r="AL14" i="16"/>
  <c r="EP21" i="19"/>
  <c r="AP17" i="20"/>
  <c r="BK13" i="11"/>
  <c r="BM17" i="11"/>
  <c r="BH19" i="11"/>
  <c r="AZ19" i="11"/>
  <c r="S14" i="16"/>
  <c r="V12" i="21"/>
  <c r="P14" i="16"/>
  <c r="Z14" i="17"/>
  <c r="F18" i="17"/>
  <c r="AQ18" i="17" s="1"/>
  <c r="V18" i="16"/>
  <c r="K20" i="2"/>
  <c r="N14" i="2"/>
  <c r="F14" i="7"/>
  <c r="BK16" i="11"/>
  <c r="AP10" i="21"/>
  <c r="V13" i="11"/>
  <c r="BI16" i="11"/>
  <c r="BM13" i="11"/>
  <c r="AP16" i="20"/>
  <c r="BL11" i="11"/>
  <c r="BL13" i="11"/>
  <c r="BM16" i="11"/>
  <c r="T16" i="16"/>
  <c r="BV19" i="16"/>
  <c r="BV13" i="16"/>
  <c r="BV17" i="16"/>
  <c r="BV16" i="16"/>
  <c r="BW11" i="20"/>
  <c r="BV10" i="16"/>
  <c r="V12" i="16"/>
  <c r="BV9" i="16"/>
  <c r="T14" i="16"/>
  <c r="AA16" i="16"/>
  <c r="T17" i="11"/>
  <c r="Q18" i="17"/>
  <c r="BH10" i="11"/>
  <c r="BI9" i="11"/>
  <c r="AQ10" i="21"/>
  <c r="S10" i="17"/>
  <c r="BH10" i="16"/>
  <c r="Q16" i="17"/>
  <c r="BM18" i="11"/>
  <c r="BF16" i="11"/>
  <c r="BH17" i="11"/>
  <c r="AQ12" i="21"/>
  <c r="BJ17" i="11"/>
  <c r="BL17" i="11"/>
  <c r="AY20" i="8"/>
  <c r="BF16" i="8"/>
  <c r="AY14" i="8"/>
  <c r="BG16" i="8"/>
  <c r="BD9" i="8"/>
  <c r="AH14" i="16"/>
  <c r="S17" i="17"/>
  <c r="L13" i="2"/>
  <c r="X10" i="21"/>
  <c r="X16" i="16"/>
  <c r="X20" i="16" s="1"/>
  <c r="V10" i="16"/>
  <c r="T14" i="20"/>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AK21" i="8"/>
  <c r="BA14" i="8"/>
  <c r="BG10" i="8"/>
  <c r="R21" i="8"/>
  <c r="B19" i="6"/>
  <c r="H12" i="2"/>
  <c r="AL16" i="11"/>
  <c r="M14" i="2"/>
  <c r="M20" i="2"/>
  <c r="N20" i="2"/>
  <c r="K16" i="7"/>
  <c r="F13" i="2"/>
  <c r="F11" i="16"/>
  <c r="BL11" i="16" s="1"/>
  <c r="BF10" i="11"/>
  <c r="V11" i="16"/>
  <c r="BG10"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W22" i="11"/>
  <c r="J22" i="20"/>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U22" i="1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<sst xmlns="http://schemas.openxmlformats.org/spreadsheetml/2006/main" count="2215" uniqueCount="978">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</sst>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8zocPfyd2NBN51SmHkJ6cA/2qzyNqFIbq3uDXy41abCg6dfEO7pbHMRGCVzYMx0lgPEx8KwfQeAF7+SS0ablw==" saltValue="QD7MSN9zxzrQ9vm+m+L7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53.161352657004834</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88</v>
      </c>
      <c r="D10" s="230">
        <f>IF(ISNUMBER(Datos!I10),Datos!I10," - ")</f>
        <v>88</v>
      </c>
      <c r="E10" s="231">
        <f>IF(ISNUMBER(Datos!J10),Datos!J10," - ")</f>
        <v>42</v>
      </c>
      <c r="F10" s="231">
        <f>IF(ISNUMBER(Datos!K10),Datos!K10," - ")</f>
        <v>25</v>
      </c>
      <c r="G10" s="1193" t="str">
        <f>IF(Datos!E10&lt;&gt;"",Datos!E10,Datos!D10)</f>
        <v>37</v>
      </c>
      <c r="H10" s="232">
        <f>IF(ISNUMBER(Datos!L10),Datos!L10," - ")</f>
        <v>105</v>
      </c>
      <c r="I10" s="1203" t="str">
        <f>IF(ISNUMBER(Datos!AS10/Datos!BM10),Datos!AS10/Datos!BM10," - ")</f>
        <v xml:space="preserve"> - </v>
      </c>
      <c r="J10" s="1204">
        <f>IF(ISNUMBER(Datos!BY10/Datos!CN10),Datos!BY10/Datos!CN10," - ")</f>
        <v>0</v>
      </c>
      <c r="K10" s="235">
        <f t="shared" ref="K10:K13" si="1">IF(ISNUMBER((E10-F10)/C10),(E10-F10)/C10," - ")</f>
        <v>0.19318181818181818</v>
      </c>
      <c r="L10" s="1205">
        <f>IF(ISNUMBER(NºAsuntos!I10/NºAsuntos!G10),(NºAsuntos!I10/NºAsuntos!G10)*11," - ")</f>
        <v>46.2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28.431451612903224</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88</v>
      </c>
      <c r="D14" s="1210">
        <f>SUBTOTAL(9,D9:D13)</f>
        <v>88</v>
      </c>
      <c r="E14" s="1211">
        <f>SUBTOTAL(9,E9:E13)</f>
        <v>42</v>
      </c>
      <c r="F14" s="1212">
        <f>SUBTOTAL(9,F9:F13)</f>
        <v>25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3331</v>
      </c>
      <c r="D16" s="230">
        <f>IF(ISNUMBER(IF(D_I="SI",Datos!I16,Datos!I16+Datos!AC16)),IF(D_I="SI",Datos!I16,Datos!I16+Datos!AC16)," - ")</f>
        <v>3316</v>
      </c>
      <c r="E16" s="231">
        <f>IF(ISNUMBER(IF(D_I="SI",Datos!J16,Datos!J16+Datos!AD16)),IF(D_I="SI",Datos!J16,Datos!J16+Datos!AD16)," - ")</f>
        <v>2132</v>
      </c>
      <c r="F16" s="231">
        <f>IF(ISNUMBER(IF(D_I="SI",Datos!K16,Datos!K16+Datos!AE16)),IF(D_I="SI",Datos!K16,Datos!K16+Datos!AE16)," - ")</f>
        <v>1403</v>
      </c>
      <c r="G16" s="1193" t="str">
        <f>IF(Datos!E16&lt;&gt;"",Datos!E16,Datos!D16)</f>
        <v>03</v>
      </c>
      <c r="H16" s="232">
        <f>IF(ISNUMBER(IF(D_I="SI",Datos!L16,Datos!L16+Datos!AF16)),IF(D_I="SI",Datos!L16,Datos!L16+Datos!AF16)," - ")</f>
        <v>4060</v>
      </c>
      <c r="I16" s="1203" t="str">
        <f>IF(ISNUMBER(Datos!AS16/Datos!BM16),Datos!AS16/Datos!BM16," - ")</f>
        <v xml:space="preserve"> - </v>
      </c>
      <c r="J16" s="1204">
        <f>IF(ISNUMBER(Datos!BY16/Datos!CN16),Datos!BY16/Datos!CN16," - ")</f>
        <v>0</v>
      </c>
      <c r="K16" s="235">
        <f t="shared" ref="K16:K19" si="3">IF(ISNUMBER((E16-F16)/C16),(E16-F16)/C16," - ")</f>
        <v>0.21885319723806665</v>
      </c>
      <c r="L16" s="1205">
        <f>IF(ISNUMBER(NºAsuntos!I16/NºAsuntos!G16),(NºAsuntos!I16/NºAsuntos!G16)*11," - ")</f>
        <v>31.831789023521029</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274</v>
      </c>
      <c r="D18" s="230">
        <f>IF(ISNUMBER(IF(D_I="SI",Datos!I18,Datos!I18+Datos!AC18)),IF(D_I="SI",Datos!I18,Datos!I18+Datos!AC18)," - ")</f>
        <v>274</v>
      </c>
      <c r="E18" s="231">
        <f>IF(ISNUMBER(IF(D_I="SI",Datos!J18,Datos!J18+Datos!AD18)),IF(D_I="SI",Datos!J18,Datos!J18+Datos!AD18)," - ")</f>
        <v>232</v>
      </c>
      <c r="F18" s="231">
        <f>IF(ISNUMBER(IF(D_I="SI",Datos!K18,Datos!K18+Datos!AE18)),IF(D_I="SI",Datos!K18,Datos!K18+Datos!AE18)," - ")</f>
        <v>234</v>
      </c>
      <c r="G18" s="1193" t="str">
        <f>IF(Datos!E18&lt;&gt;"",Datos!E18,Datos!D18)</f>
        <v>37</v>
      </c>
      <c r="H18" s="232">
        <f>IF(ISNUMBER(IF(D_I="SI",Datos!L18,Datos!L18+Datos!AF18)),IF(D_I="SI",Datos!L18,Datos!L18+Datos!AF18)," - ")</f>
        <v>272</v>
      </c>
      <c r="I18" s="1203" t="str">
        <f>IF(ISNUMBER(Datos!AS18/Datos!BM18),Datos!AS18/Datos!BM18," - ")</f>
        <v xml:space="preserve"> - </v>
      </c>
      <c r="J18" s="1204" t="str">
        <f>IF(ISNUMBER((Datos!BY18+Datos!BZ18)/Datos!CN18),(Datos!BY18+Datos!BZ18)/Datos!CN18," - ")</f>
        <v xml:space="preserve"> - </v>
      </c>
      <c r="K18" s="235">
        <f t="shared" si="3"/>
        <v>-7.2992700729927005E-3</v>
      </c>
      <c r="L18" s="1205">
        <f>IF(ISNUMBER(NºAsuntos!I18/NºAsuntos!G18),(NºAsuntos!I18/NºAsuntos!G18)*11," - ")</f>
        <v>12.786324786324787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3605</v>
      </c>
      <c r="D20" s="1210">
        <f>SUBTOTAL(9,D16:D19)</f>
        <v>3590</v>
      </c>
      <c r="E20" s="1211">
        <f>SUBTOTAL(9,E16:E19)</f>
        <v>2364</v>
      </c>
      <c r="F20" s="1211">
        <f>SUBTOTAL(9,F16:F19)</f>
        <v>1637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3693</v>
      </c>
      <c r="D21" s="1232">
        <f>SUBTOTAL(9,D9:D20)</f>
        <v>3678</v>
      </c>
      <c r="E21" s="1233">
        <f>SUBTOTAL(9,E9:E20)</f>
        <v>2406</v>
      </c>
      <c r="F21" s="1233">
        <f>SUBTOTAL(9,F9:F20)</f>
        <v>1662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8SCDPeHNFCL4AYlL1np1iB0wpa+vBFlbiG/YfGCcJlLpzMdfrVHHsoU9zmbegz+eva5XbFd87D0UFvc3p6Bew==" saltValue="rxRGJkGOiKDtdjTsJ7OW1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a3jfjLm8u4f8QsU8HZ1fTG1pz2SiWngUxiJx+z1i7ZkgB+jz7Z5CO5Zz7Wb/SD+vGAsbffPEjBQOo8Kmr5v2g==" saltValue="13Zf8OYAFD96A/JQRNHc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5047</v>
      </c>
      <c r="J9" s="186">
        <v>812</v>
      </c>
      <c r="K9" s="186">
        <v>1010</v>
      </c>
      <c r="L9" s="186">
        <v>4849</v>
      </c>
      <c r="M9" s="186">
        <v>340</v>
      </c>
      <c r="N9" s="186">
        <v>326</v>
      </c>
      <c r="O9" s="186">
        <v>483</v>
      </c>
      <c r="P9" s="186">
        <v>272</v>
      </c>
      <c r="Q9" s="186">
        <v>1585</v>
      </c>
      <c r="R9" s="186">
        <v>8494</v>
      </c>
      <c r="S9" s="186">
        <v>4813</v>
      </c>
      <c r="T9" s="186">
        <v>2225</v>
      </c>
      <c r="U9" s="186">
        <v>2028</v>
      </c>
      <c r="V9" s="186">
        <v>5151</v>
      </c>
      <c r="W9" s="186">
        <v>651</v>
      </c>
      <c r="X9" s="193">
        <v>671</v>
      </c>
      <c r="Y9" s="196">
        <v>136</v>
      </c>
      <c r="Z9" s="186">
        <v>42</v>
      </c>
      <c r="AA9" s="186">
        <v>25</v>
      </c>
      <c r="AB9" s="186">
        <v>153</v>
      </c>
      <c r="AC9" s="186">
        <v>0</v>
      </c>
      <c r="AD9" s="186">
        <v>0</v>
      </c>
      <c r="AE9" s="186">
        <v>0</v>
      </c>
      <c r="AF9" s="193">
        <v>0</v>
      </c>
      <c r="AG9" s="196">
        <v>227</v>
      </c>
      <c r="AH9" s="186">
        <v>139</v>
      </c>
      <c r="AI9" s="186">
        <v>178</v>
      </c>
      <c r="AJ9" s="197">
        <v>178</v>
      </c>
      <c r="AK9" s="185">
        <v>0</v>
      </c>
      <c r="AL9" s="186">
        <v>0</v>
      </c>
      <c r="AM9" s="186">
        <v>0</v>
      </c>
      <c r="AN9" s="193">
        <v>0</v>
      </c>
      <c r="AO9" s="263">
        <v>6</v>
      </c>
      <c r="AP9" s="159">
        <v>6</v>
      </c>
      <c r="AQ9" s="159">
        <v>6</v>
      </c>
      <c r="AR9" s="198">
        <v>6</v>
      </c>
      <c r="AS9" s="348" t="s">
        <v>871</v>
      </c>
      <c r="AT9" s="200"/>
      <c r="AU9" s="199"/>
      <c r="AV9" s="200"/>
      <c r="AW9" s="199"/>
      <c r="AX9" s="200"/>
      <c r="AY9" s="125">
        <f>IF(ISNUMBER(IF(J_V="SI",S9,S9+AG9)),IF(J_V="SI",S9,S9+AG9)," - ")</f>
        <v>5040</v>
      </c>
      <c r="AZ9" s="125">
        <f>IF(ISNUMBER(IF(J_V="SI",T9,T9+AH9)),IF(J_V="SI",T9,T9+AH9)," - ")</f>
        <v>2364</v>
      </c>
      <c r="BA9" s="126">
        <f>IF(ISNUMBER(IF(J_V="SI",U9,U9+AI9)),IF(J_V="SI",U9,U9+AI9)," - ")</f>
        <v>2206</v>
      </c>
      <c r="BB9" s="126">
        <f>IF(ISNUMBER(IF(J_V="SI",V9,V9+AJ9)),IF(J_V="SI",V9,V9+AJ9)," - ")</f>
        <v>5329</v>
      </c>
      <c r="BC9" s="127">
        <f>IF(ISNUMBER(X9),X9," - ")</f>
        <v>671</v>
      </c>
      <c r="BD9" s="128">
        <f>IF(ISNUMBER(BA9/AZ9),BA9/AZ9," - ")</f>
        <v>0.93316412859560072</v>
      </c>
      <c r="BE9" s="129">
        <f>IF(ISNUMBER(BB9/BA9),BB9/BA9, " - ")</f>
        <v>2.4156844968268358</v>
      </c>
      <c r="BF9" s="129">
        <f>IF(ISNUMBER(BC9/BA9),BC9/BA9, " - ")</f>
        <v>0.30417044424297368</v>
      </c>
      <c r="BG9" s="201">
        <f>IF(ISNUMBER((AY9+AZ9)/BA9),(AY9+AZ9)/BA9," - ")</f>
        <v>3.3563009972801452</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88</v>
      </c>
      <c r="J10" s="186">
        <v>42</v>
      </c>
      <c r="K10" s="186">
        <v>25</v>
      </c>
      <c r="L10" s="186">
        <v>105</v>
      </c>
      <c r="M10" s="186">
        <v>12</v>
      </c>
      <c r="N10" s="186">
        <v>8</v>
      </c>
      <c r="O10" s="186">
        <v>8</v>
      </c>
      <c r="P10" s="186">
        <v>18</v>
      </c>
      <c r="Q10" s="186">
        <v>13</v>
      </c>
      <c r="R10" s="186">
        <v>74</v>
      </c>
      <c r="S10" s="186">
        <v>80</v>
      </c>
      <c r="T10" s="186">
        <v>48</v>
      </c>
      <c r="U10" s="186">
        <v>34</v>
      </c>
      <c r="V10" s="186">
        <v>94</v>
      </c>
      <c r="W10" s="186">
        <v>12</v>
      </c>
      <c r="X10" s="193">
        <v>25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80</v>
      </c>
      <c r="AZ10" s="131">
        <f t="shared" si="0"/>
        <v>48</v>
      </c>
      <c r="BA10" s="131">
        <f t="shared" si="0"/>
        <v>34</v>
      </c>
      <c r="BB10" s="131">
        <f t="shared" si="0"/>
        <v>94</v>
      </c>
      <c r="BC10" s="127">
        <f t="shared" si="0"/>
        <v>12</v>
      </c>
      <c r="BD10" s="128">
        <f>IF(ISNUMBER(BA10/AZ10),BA10/AZ10," - ")</f>
        <v>0.70833333333333337</v>
      </c>
      <c r="BE10" s="129">
        <f>IF(ISNUMBER(BB10/BA10),BB10/BA10, " - ")</f>
        <v>2.7647058823529411</v>
      </c>
      <c r="BF10" s="129">
        <f>IF(ISNUMBER(BC10/BA10),BC10/BA10, " - ")</f>
        <v>0.35294117647058826</v>
      </c>
      <c r="BG10" s="201">
        <f>IF(ISNUMBER((AY10+AZ10)/BA10),(AY10+AZ10)/BA10," - ")</f>
        <v>3.7647058823529411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384</v>
      </c>
      <c r="J11" s="188">
        <v>287</v>
      </c>
      <c r="K11" s="188">
        <v>132</v>
      </c>
      <c r="L11" s="188">
        <v>539</v>
      </c>
      <c r="M11" s="188">
        <v>60</v>
      </c>
      <c r="N11" s="188">
        <v>161</v>
      </c>
      <c r="O11" s="186">
        <v>58</v>
      </c>
      <c r="P11" s="188">
        <v>7</v>
      </c>
      <c r="Q11" s="188">
        <v>17</v>
      </c>
      <c r="R11" s="188">
        <v>479</v>
      </c>
      <c r="S11" s="188">
        <v>412</v>
      </c>
      <c r="T11" s="188">
        <v>404</v>
      </c>
      <c r="U11" s="188">
        <v>342</v>
      </c>
      <c r="V11" s="188">
        <v>474</v>
      </c>
      <c r="W11" s="188">
        <v>191</v>
      </c>
      <c r="X11" s="194">
        <v>239</v>
      </c>
      <c r="Y11" s="196">
        <v>90</v>
      </c>
      <c r="Z11" s="186">
        <v>128</v>
      </c>
      <c r="AA11" s="186">
        <v>116</v>
      </c>
      <c r="AB11" s="186">
        <v>102</v>
      </c>
      <c r="AC11" s="188">
        <v>0</v>
      </c>
      <c r="AD11" s="188">
        <v>0</v>
      </c>
      <c r="AE11" s="188">
        <v>0</v>
      </c>
      <c r="AF11" s="194">
        <v>0</v>
      </c>
      <c r="AG11" s="207">
        <v>47</v>
      </c>
      <c r="AH11" s="188">
        <v>196</v>
      </c>
      <c r="AI11" s="188">
        <v>202</v>
      </c>
      <c r="AJ11" s="208">
        <v>41</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459</v>
      </c>
      <c r="AZ11" s="129">
        <f t="shared" si="1"/>
        <v>600</v>
      </c>
      <c r="BA11" s="129">
        <f t="shared" si="1"/>
        <v>544</v>
      </c>
      <c r="BB11" s="129">
        <f t="shared" si="1"/>
        <v>515</v>
      </c>
      <c r="BC11" s="127">
        <f>IF(ISNUMBER(X11),X11," - ")</f>
        <v>239</v>
      </c>
      <c r="BD11" s="128">
        <f t="shared" ref="BD11:BD13" si="2">IF(ISNUMBER(BA11/AZ11),BA11/AZ11," - ")</f>
        <v>0.90666666666666662</v>
      </c>
      <c r="BE11" s="129">
        <f t="shared" ref="BE11:BE13" si="3">IF(ISNUMBER(BB11/BA11),BB11/BA11, " - ")</f>
        <v>0.9466911764705882</v>
      </c>
      <c r="BF11" s="129">
        <f t="shared" ref="BF11:BF13" si="4">IF(ISNUMBER(BC11/BA11),BC11/BA11, " - ")</f>
        <v>0.43933823529411764</v>
      </c>
      <c r="BG11" s="201">
        <f t="shared" ref="BG11:BG13" si="5">IF(ISNUMBER((AY11+AZ11)/BA11),(AY11+AZ11)/BA11," - ")</f>
        <v>1.9466911764705883</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5519</v>
      </c>
      <c r="J14" s="189">
        <f t="shared" si="7"/>
        <v>1141</v>
      </c>
      <c r="K14" s="189">
        <f t="shared" si="7"/>
        <v>1167</v>
      </c>
      <c r="L14" s="189">
        <f t="shared" si="7"/>
        <v>5493</v>
      </c>
      <c r="M14" s="189">
        <f t="shared" si="7"/>
        <v>412</v>
      </c>
      <c r="N14" s="189">
        <f t="shared" si="7"/>
        <v>495</v>
      </c>
      <c r="O14" s="189">
        <f t="shared" si="7"/>
        <v>549</v>
      </c>
      <c r="P14" s="189">
        <f t="shared" si="7"/>
        <v>297</v>
      </c>
      <c r="Q14" s="189">
        <f t="shared" si="7"/>
        <v>1615</v>
      </c>
      <c r="R14" s="189">
        <f t="shared" si="7"/>
        <v>9047</v>
      </c>
      <c r="S14" s="189">
        <f t="shared" si="7"/>
        <v>5305</v>
      </c>
      <c r="T14" s="189">
        <f t="shared" si="7"/>
        <v>2677</v>
      </c>
      <c r="U14" s="189">
        <f t="shared" si="7"/>
        <v>2404</v>
      </c>
      <c r="V14" s="189">
        <f t="shared" si="7"/>
        <v>5719</v>
      </c>
      <c r="W14" s="189">
        <f t="shared" si="7"/>
        <v>854</v>
      </c>
      <c r="X14" s="189">
        <f t="shared" si="7"/>
        <v>935</v>
      </c>
      <c r="Y14" s="189">
        <f t="shared" si="7"/>
        <v>226</v>
      </c>
      <c r="Z14" s="189">
        <f t="shared" si="7"/>
        <v>170</v>
      </c>
      <c r="AA14" s="189">
        <f t="shared" si="7"/>
        <v>141</v>
      </c>
      <c r="AB14" s="189">
        <f t="shared" si="7"/>
        <v>255</v>
      </c>
      <c r="AC14" s="189">
        <f t="shared" si="7"/>
        <v>0</v>
      </c>
      <c r="AD14" s="189">
        <f t="shared" si="7"/>
        <v>0</v>
      </c>
      <c r="AE14" s="189">
        <f t="shared" si="7"/>
        <v>0</v>
      </c>
      <c r="AF14" s="189">
        <f>SUBTOTAL(9,AF9:AF13)</f>
        <v>0</v>
      </c>
      <c r="AG14" s="189">
        <f t="shared" ref="AG14:AT14" si="8">SUBTOTAL(9,AG8:AG13)</f>
        <v>274</v>
      </c>
      <c r="AH14" s="189">
        <f t="shared" si="8"/>
        <v>335</v>
      </c>
      <c r="AI14" s="189">
        <f t="shared" si="8"/>
        <v>380</v>
      </c>
      <c r="AJ14" s="189">
        <f t="shared" si="8"/>
        <v>219</v>
      </c>
      <c r="AK14" s="189">
        <f t="shared" si="8"/>
        <v>0</v>
      </c>
      <c r="AL14" s="189">
        <f t="shared" si="8"/>
        <v>0</v>
      </c>
      <c r="AM14" s="189">
        <f t="shared" si="8"/>
        <v>0</v>
      </c>
      <c r="AN14" s="189">
        <f t="shared" si="8"/>
        <v>0</v>
      </c>
      <c r="AO14" s="189">
        <f t="shared" si="8"/>
        <v>9</v>
      </c>
      <c r="AP14" s="189">
        <f t="shared" si="8"/>
        <v>9</v>
      </c>
      <c r="AQ14" s="189">
        <f t="shared" si="8"/>
        <v>9</v>
      </c>
      <c r="AR14" s="189">
        <f t="shared" si="8"/>
        <v>9</v>
      </c>
      <c r="AS14" s="189">
        <f t="shared" si="8"/>
        <v>0</v>
      </c>
      <c r="AT14" s="189">
        <f t="shared" si="8"/>
        <v>0</v>
      </c>
      <c r="AU14" s="209"/>
      <c r="AV14" s="134"/>
      <c r="AW14" s="209"/>
      <c r="AX14" s="134"/>
      <c r="AY14" s="189">
        <f>SUBTOTAL(9,AY8:AY13)</f>
        <v>5579</v>
      </c>
      <c r="AZ14" s="189">
        <f>SUBTOTAL(9,AZ8:AZ13)</f>
        <v>3012</v>
      </c>
      <c r="BA14" s="189">
        <f>SUBTOTAL(9,BA8:BA13)</f>
        <v>2784</v>
      </c>
      <c r="BB14" s="189">
        <f>SUBTOTAL(9,BB8:BB13)</f>
        <v>5938</v>
      </c>
      <c r="BC14" s="189">
        <f>SUBTOTAL(9,BC8:BC13)</f>
        <v>922</v>
      </c>
      <c r="BD14" s="210">
        <f>IF(ISNUMBER(BA14/AZ14),BA14/AZ14," - ")</f>
        <v>0.92430278884462147</v>
      </c>
      <c r="BE14" s="211">
        <f>IF(ISNUMBER(BB14/BA14),BB14/BA14, " - ")</f>
        <v>2.1329022988505746</v>
      </c>
      <c r="BF14" s="211">
        <f>IF(ISNUMBER(BC14/BA14),BC14/BA14, " - ")</f>
        <v>0.33117816091954022</v>
      </c>
      <c r="BG14" s="212">
        <f>IF(ISNUMBER((AY14+AZ14)/BA14),(AY14+AZ14)/BA14," - ")</f>
        <v>3.0858477011494254</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3316</v>
      </c>
      <c r="J16" s="188">
        <v>2132</v>
      </c>
      <c r="K16" s="188">
        <v>1403</v>
      </c>
      <c r="L16" s="188">
        <v>4060</v>
      </c>
      <c r="M16" s="188">
        <v>225</v>
      </c>
      <c r="N16" s="188">
        <v>699</v>
      </c>
      <c r="O16" s="186">
        <v>50</v>
      </c>
      <c r="P16" s="188">
        <v>109</v>
      </c>
      <c r="Q16" s="188">
        <v>80</v>
      </c>
      <c r="R16" s="188">
        <v>540</v>
      </c>
      <c r="S16" s="188">
        <v>2760</v>
      </c>
      <c r="T16" s="188">
        <v>1942</v>
      </c>
      <c r="U16" s="188">
        <v>2072</v>
      </c>
      <c r="V16" s="188">
        <v>2636</v>
      </c>
      <c r="W16" s="188">
        <v>367</v>
      </c>
      <c r="X16" s="194">
        <v>829</v>
      </c>
      <c r="Y16" s="207">
        <v>0</v>
      </c>
      <c r="Z16" s="188">
        <v>0</v>
      </c>
      <c r="AA16" s="188">
        <v>0</v>
      </c>
      <c r="AB16" s="188">
        <v>0</v>
      </c>
      <c r="AC16" s="188">
        <v>1</v>
      </c>
      <c r="AD16" s="188">
        <v>52</v>
      </c>
      <c r="AE16" s="188">
        <v>52</v>
      </c>
      <c r="AF16" s="194">
        <v>1</v>
      </c>
      <c r="AG16" s="207">
        <v>0</v>
      </c>
      <c r="AH16" s="188">
        <v>0</v>
      </c>
      <c r="AI16" s="188">
        <v>0</v>
      </c>
      <c r="AJ16" s="208">
        <v>0</v>
      </c>
      <c r="AK16" s="187">
        <v>1</v>
      </c>
      <c r="AL16" s="188">
        <v>76</v>
      </c>
      <c r="AM16" s="188">
        <v>75</v>
      </c>
      <c r="AN16" s="194">
        <v>2</v>
      </c>
      <c r="AO16" s="264">
        <v>3</v>
      </c>
      <c r="AP16" s="160">
        <v>3</v>
      </c>
      <c r="AQ16" s="160">
        <v>3</v>
      </c>
      <c r="AR16" s="160">
        <v>3</v>
      </c>
      <c r="AS16" s="350" t="s">
        <v>588</v>
      </c>
      <c r="AT16" s="208" t="s">
        <v>360</v>
      </c>
      <c r="AU16" s="207"/>
      <c r="AV16" s="208"/>
      <c r="AW16" s="207"/>
      <c r="AX16" s="208"/>
      <c r="AY16" s="130">
        <f t="shared" ref="AY16:BB17" si="10">IF(ISNUMBER(IF(D_I="SI",S16,S16+AK16)),IF(D_I="SI",S16,S16+AK16)," - ")</f>
        <v>2760</v>
      </c>
      <c r="AZ16" s="131">
        <f t="shared" si="10"/>
        <v>1942</v>
      </c>
      <c r="BA16" s="131">
        <f t="shared" si="10"/>
        <v>2072</v>
      </c>
      <c r="BB16" s="131">
        <f t="shared" si="10"/>
        <v>2636</v>
      </c>
      <c r="BC16" s="127">
        <f>IF(ISNUMBER(W16),W16," - ")</f>
        <v>367</v>
      </c>
      <c r="BD16" s="128">
        <f>IF(ISNUMBER(BA16/AZ16),BA16/AZ16," - ")</f>
        <v>1.066941297631308</v>
      </c>
      <c r="BE16" s="129">
        <f>IF(ISNUMBER(BB16/BA16),BB16/BA16, " - ")</f>
        <v>1.2722007722007722</v>
      </c>
      <c r="BF16" s="129">
        <f>IF(ISNUMBER(BC16/BA16),BC16/BA16, " - ")</f>
        <v>0.17712355212355213</v>
      </c>
      <c r="BG16" s="201">
        <f t="shared" ref="BG16:BG19" si="11">IF(ISNUMBER((AY16+AZ16)/BA16),(AY16+AZ16)/BA16," - ")</f>
        <v>2.2693050193050195</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274</v>
      </c>
      <c r="J18" s="188">
        <v>232</v>
      </c>
      <c r="K18" s="188">
        <v>234</v>
      </c>
      <c r="L18" s="188">
        <v>272</v>
      </c>
      <c r="M18" s="188">
        <v>5</v>
      </c>
      <c r="N18" s="188">
        <v>122</v>
      </c>
      <c r="O18" s="188">
        <v>1</v>
      </c>
      <c r="P18" s="188">
        <v>4</v>
      </c>
      <c r="Q18" s="188">
        <v>1</v>
      </c>
      <c r="R18" s="188">
        <v>3</v>
      </c>
      <c r="S18" s="188">
        <v>223</v>
      </c>
      <c r="T18" s="188">
        <v>226</v>
      </c>
      <c r="U18" s="188">
        <v>219</v>
      </c>
      <c r="V18" s="188">
        <v>231</v>
      </c>
      <c r="W18" s="188">
        <v>6</v>
      </c>
      <c r="X18" s="194">
        <v>116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223</v>
      </c>
      <c r="AZ18" s="131">
        <f t="shared" si="15"/>
        <v>226</v>
      </c>
      <c r="BA18" s="131">
        <f t="shared" si="15"/>
        <v>219</v>
      </c>
      <c r="BB18" s="131">
        <f t="shared" si="15"/>
        <v>231</v>
      </c>
      <c r="BC18" s="127">
        <f>IF(ISNUMBER(W18),W18," - ")</f>
        <v>6</v>
      </c>
      <c r="BD18" s="128">
        <f>IF(ISNUMBER(BA18/AZ18),BA18/AZ18," - ")</f>
        <v>0.96902654867256632</v>
      </c>
      <c r="BE18" s="129">
        <f>IF(ISNUMBER(BB18/BA18),BB18/BA18, " - ")</f>
        <v>1.0547945205479452</v>
      </c>
      <c r="BF18" s="129">
        <f>IF(ISNUMBER(BC18/BA18),BC18/BA18, " - ")</f>
        <v>2.7397260273972601E-2</v>
      </c>
      <c r="BG18" s="201">
        <f>IF(ISNUMBER((AY18+AZ18)/BA18),(AY18+AZ18)/BA18," - ")</f>
        <v>2.0502283105022832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3590</v>
      </c>
      <c r="J20" s="189">
        <f t="shared" si="16"/>
        <v>2364</v>
      </c>
      <c r="K20" s="189">
        <f t="shared" si="16"/>
        <v>1637</v>
      </c>
      <c r="L20" s="189">
        <f t="shared" si="16"/>
        <v>4332</v>
      </c>
      <c r="M20" s="189">
        <f t="shared" si="16"/>
        <v>230</v>
      </c>
      <c r="N20" s="189">
        <f t="shared" si="16"/>
        <v>821</v>
      </c>
      <c r="O20" s="189">
        <f t="shared" si="16"/>
        <v>51</v>
      </c>
      <c r="P20" s="189">
        <f t="shared" si="16"/>
        <v>113</v>
      </c>
      <c r="Q20" s="189">
        <f t="shared" si="16"/>
        <v>81</v>
      </c>
      <c r="R20" s="189">
        <f t="shared" si="16"/>
        <v>543</v>
      </c>
      <c r="S20" s="189">
        <f t="shared" si="16"/>
        <v>2983</v>
      </c>
      <c r="T20" s="189">
        <f t="shared" si="16"/>
        <v>2168</v>
      </c>
      <c r="U20" s="189">
        <f t="shared" si="16"/>
        <v>2291</v>
      </c>
      <c r="V20" s="189">
        <f t="shared" si="16"/>
        <v>2867</v>
      </c>
      <c r="W20" s="189">
        <f t="shared" si="16"/>
        <v>373</v>
      </c>
      <c r="X20" s="189">
        <f t="shared" si="16"/>
        <v>945</v>
      </c>
      <c r="Y20" s="189">
        <f t="shared" si="16"/>
        <v>0</v>
      </c>
      <c r="Z20" s="189">
        <f t="shared" si="16"/>
        <v>0</v>
      </c>
      <c r="AA20" s="189">
        <f t="shared" si="16"/>
        <v>0</v>
      </c>
      <c r="AB20" s="189">
        <f t="shared" si="16"/>
        <v>0</v>
      </c>
      <c r="AC20" s="189">
        <f t="shared" si="16"/>
        <v>1</v>
      </c>
      <c r="AD20" s="189">
        <f t="shared" si="16"/>
        <v>52</v>
      </c>
      <c r="AE20" s="189">
        <f t="shared" si="16"/>
        <v>52</v>
      </c>
      <c r="AF20" s="189">
        <f t="shared" si="16"/>
        <v>1</v>
      </c>
      <c r="AG20" s="189">
        <f t="shared" si="16"/>
        <v>0</v>
      </c>
      <c r="AH20" s="189">
        <f t="shared" si="16"/>
        <v>0</v>
      </c>
      <c r="AI20" s="189">
        <f t="shared" si="16"/>
        <v>0</v>
      </c>
      <c r="AJ20" s="189">
        <f t="shared" si="16"/>
        <v>0</v>
      </c>
      <c r="AK20" s="189">
        <f t="shared" si="16"/>
        <v>1</v>
      </c>
      <c r="AL20" s="189">
        <f t="shared" si="16"/>
        <v>76</v>
      </c>
      <c r="AM20" s="189">
        <f t="shared" si="16"/>
        <v>75</v>
      </c>
      <c r="AN20" s="189">
        <f t="shared" si="16"/>
        <v>2</v>
      </c>
      <c r="AO20" s="189">
        <f t="shared" si="16"/>
        <v>4</v>
      </c>
      <c r="AP20" s="189">
        <f t="shared" si="16"/>
        <v>4</v>
      </c>
      <c r="AQ20" s="189">
        <f t="shared" si="16"/>
        <v>4</v>
      </c>
      <c r="AR20" s="189">
        <f t="shared" si="16"/>
        <v>4</v>
      </c>
      <c r="AS20" s="189">
        <f t="shared" si="16"/>
        <v>0</v>
      </c>
      <c r="AT20" s="189">
        <f t="shared" si="16"/>
        <v>0</v>
      </c>
      <c r="AU20" s="209"/>
      <c r="AV20" s="134"/>
      <c r="AW20" s="209"/>
      <c r="AX20" s="134"/>
      <c r="AY20" s="189">
        <f>SUBTOTAL(9,AY15:AY19)</f>
        <v>2983</v>
      </c>
      <c r="AZ20" s="189">
        <f>SUBTOTAL(9,AZ15:AZ19)</f>
        <v>2168</v>
      </c>
      <c r="BA20" s="189">
        <f>SUBTOTAL(9,BA15:BA19)</f>
        <v>2291</v>
      </c>
      <c r="BB20" s="189">
        <f>SUBTOTAL(9,BB15:BB19)</f>
        <v>2867</v>
      </c>
      <c r="BC20" s="189">
        <f>SUBTOTAL(9,BC15:BC19)</f>
        <v>373</v>
      </c>
      <c r="BD20" s="210">
        <f>IF(ISNUMBER(BA20/AZ20),BA20/AZ20," - ")</f>
        <v>1.0567343173431734</v>
      </c>
      <c r="BE20" s="211">
        <f>IF(ISNUMBER(BB20/BA20),BB20/BA20, " - ")</f>
        <v>1.2514185945002183</v>
      </c>
      <c r="BF20" s="211">
        <f>IF(ISNUMBER(BC20/BA20),BC20/BA20, " - ")</f>
        <v>0.16281099956350939</v>
      </c>
      <c r="BG20" s="212">
        <f>IF(ISNUMBER((AY20+AZ20)/BA20),(AY20+AZ20)/BA20," - ")</f>
        <v>2.248363160192056</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9109</v>
      </c>
      <c r="J21" s="136">
        <f t="shared" si="19"/>
        <v>3505</v>
      </c>
      <c r="K21" s="136">
        <f t="shared" si="19"/>
        <v>2804</v>
      </c>
      <c r="L21" s="136">
        <f t="shared" si="19"/>
        <v>9825</v>
      </c>
      <c r="M21" s="136">
        <f t="shared" si="19"/>
        <v>642</v>
      </c>
      <c r="N21" s="136">
        <f t="shared" si="19"/>
        <v>1316</v>
      </c>
      <c r="O21" s="136">
        <f t="shared" si="19"/>
        <v>600</v>
      </c>
      <c r="P21" s="136">
        <f t="shared" si="19"/>
        <v>410</v>
      </c>
      <c r="Q21" s="136">
        <f t="shared" si="19"/>
        <v>1696</v>
      </c>
      <c r="R21" s="136">
        <f t="shared" si="19"/>
        <v>9590</v>
      </c>
      <c r="S21" s="136">
        <f t="shared" si="19"/>
        <v>8288</v>
      </c>
      <c r="T21" s="136">
        <f t="shared" si="19"/>
        <v>4845</v>
      </c>
      <c r="U21" s="136">
        <f t="shared" si="19"/>
        <v>4695</v>
      </c>
      <c r="V21" s="136">
        <f t="shared" si="19"/>
        <v>8586</v>
      </c>
      <c r="W21" s="136">
        <f t="shared" si="19"/>
        <v>1227</v>
      </c>
      <c r="X21" s="136">
        <f t="shared" si="19"/>
        <v>1880</v>
      </c>
      <c r="Y21" s="136">
        <f t="shared" si="19"/>
        <v>226</v>
      </c>
      <c r="Z21" s="136">
        <f t="shared" si="19"/>
        <v>170</v>
      </c>
      <c r="AA21" s="136">
        <f t="shared" si="19"/>
        <v>141</v>
      </c>
      <c r="AB21" s="136">
        <f t="shared" si="19"/>
        <v>255</v>
      </c>
      <c r="AC21" s="136">
        <f t="shared" si="19"/>
        <v>1</v>
      </c>
      <c r="AD21" s="136">
        <f t="shared" si="19"/>
        <v>52</v>
      </c>
      <c r="AE21" s="136">
        <f t="shared" si="19"/>
        <v>52</v>
      </c>
      <c r="AF21" s="136">
        <f t="shared" si="19"/>
        <v>1</v>
      </c>
      <c r="AG21" s="136">
        <f t="shared" si="19"/>
        <v>274</v>
      </c>
      <c r="AH21" s="136">
        <f t="shared" si="19"/>
        <v>335</v>
      </c>
      <c r="AI21" s="136">
        <f t="shared" si="19"/>
        <v>380</v>
      </c>
      <c r="AJ21" s="136">
        <f t="shared" si="19"/>
        <v>219</v>
      </c>
      <c r="AK21" s="136">
        <f t="shared" si="19"/>
        <v>1</v>
      </c>
      <c r="AL21" s="136">
        <f t="shared" si="19"/>
        <v>76</v>
      </c>
      <c r="AM21" s="136">
        <f t="shared" si="19"/>
        <v>75</v>
      </c>
      <c r="AN21" s="215">
        <f t="shared" si="19"/>
        <v>2</v>
      </c>
      <c r="AO21" s="216">
        <v>12</v>
      </c>
      <c r="AP21" s="216">
        <v>12</v>
      </c>
      <c r="AQ21" s="216">
        <v>12</v>
      </c>
      <c r="AR21" s="216">
        <v>12</v>
      </c>
      <c r="AS21" s="158">
        <f t="shared" si="19"/>
        <v>0</v>
      </c>
      <c r="AT21" s="158">
        <f t="shared" si="19"/>
        <v>0</v>
      </c>
      <c r="AU21" s="216"/>
      <c r="AV21" s="217"/>
      <c r="AW21" s="216"/>
      <c r="AX21" s="217"/>
      <c r="AY21" s="135">
        <f>SUBTOTAL(9,AY9:AY20)</f>
        <v>8562</v>
      </c>
      <c r="AZ21" s="136">
        <f>SUBTOTAL(9,AZ9:AZ20)</f>
        <v>5180</v>
      </c>
      <c r="BA21" s="136">
        <f>SUBTOTAL(9,BA9:BA20)</f>
        <v>5075</v>
      </c>
      <c r="BB21" s="136">
        <f>SUBTOTAL(9,BB9:BB20)</f>
        <v>8805</v>
      </c>
      <c r="BC21" s="137">
        <f>SUBTOTAL(9,BC9:BC20)</f>
        <v>1295</v>
      </c>
      <c r="BD21" s="218">
        <f>IF(ISNUMBER(BA21/AZ21),BA21/AZ21," - ")</f>
        <v>0.97972972972972971</v>
      </c>
      <c r="BE21" s="215">
        <f>IF(ISNUMBER(BB21/BA21),BB21/BA21, " - ")</f>
        <v>1.734975369458128</v>
      </c>
      <c r="BF21" s="215">
        <f>IF(ISNUMBER(BC21/BA21),BC21/BA21, " - ")</f>
        <v>0.25517241379310346</v>
      </c>
      <c r="BG21" s="137">
        <f>IF(ISNUMBER((AY21+AZ21)/BA21),(AY21+AZ21)/BA21," - ")</f>
        <v>2.7077832512315272</v>
      </c>
      <c r="BH21" s="216">
        <f>SUBTOTAL(9,BH9:BH20)</f>
        <v>13</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XYsY47eOhEWfI6ANP6gf0bzAGZXLHzw+8GtvfFIv9MkFdo22hQILlnICbnu1sV/Bofm2X3yK1MgIVyiI5Q1DA==" saltValue="zVPEQqItcoVZs+BAEBl1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XeXYQsOvC/7wVy3xeW9278uUIWaAts/ZpDqWuGaKHRXXKp3D23bmqVGAwg+kCx0bCXB7urEqAWYMo3rajetzA==" saltValue="kYA5UpQtJ17K9W3iMlg2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ALBACETE  Resumenes por Partidos Judiciales  ALBACETE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42</v>
      </c>
      <c r="O9" s="504"/>
      <c r="P9" s="504"/>
      <c r="Q9" s="502">
        <f>IF(ISNUMBER(Datos!P9),Datos!P9,0)</f>
        <v>272</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1585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153</v>
      </c>
      <c r="AI9" s="504" t="str">
        <f>IF(ISNUMBER(Datos!CD9),Datos!CD9,"-")</f>
        <v>-</v>
      </c>
      <c r="AJ9" s="504" t="str">
        <f>IF(ISNUMBER(Datos!EN9),Datos!EN9," - ")</f>
        <v xml:space="preserve"> - </v>
      </c>
      <c r="AK9" s="504"/>
      <c r="AL9" s="505"/>
      <c r="AM9" s="672">
        <f>IF(ISNUMBER(Datos!R9),Datos!R9," - ")</f>
        <v>8494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340</v>
      </c>
      <c r="BD9" s="620">
        <f>IF(ISNUMBER(Datos!N9),Datos!N9," - ")</f>
        <v>326</v>
      </c>
      <c r="BE9" s="620" t="str">
        <f>IF(ISNUMBER(Datos!BW9),Datos!BW9," - ")</f>
        <v xml:space="preserve"> - </v>
      </c>
      <c r="BF9" s="668" t="str">
        <f>IF(ISNUMBER(Datos!BX9),Datos!BX9," - ")</f>
        <v xml:space="preserve"> - </v>
      </c>
      <c r="BG9" s="669">
        <f>IF(ISNUMBER(IF(J_V="SI",Datos!K9/Datos!J9,(Datos!K9+Datos!AA9)/(Datos!J9+Datos!Z9))),IF(J_V="SI",Datos!K9/Datos!J9,(Datos!K9+Datos!AA9)/(Datos!J9+Datos!Z9))," - ")</f>
        <v>1.2119437939110069</v>
      </c>
      <c r="BH9" s="670">
        <f>IF(ISNUMBER(((IF(J_V="SI",Datos!L9/Datos!K9,(Datos!L9+Datos!AB9)/(Datos!K9+Datos!AA9)))*11)/factor_trimestre),((IF(J_V="SI",Datos!L9/Datos!K9,(Datos!L9+Datos!AB9)/(Datos!K9+Datos!AA9)))*11)/factor_trimestre," - ")</f>
        <v>14.498550724637683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-0.13388396043642295</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88</v>
      </c>
      <c r="G10" s="498">
        <f>IF(ISNUMBER(Datos!I10),Datos!I10," - ")</f>
        <v>88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25</v>
      </c>
      <c r="AC10" s="502">
        <f>IF(ISNUMBER(Datos!Q10),Datos!Q10," - ")</f>
        <v>13</v>
      </c>
      <c r="AD10" s="504"/>
      <c r="AE10" s="517"/>
      <c r="AF10" s="506">
        <f>IF(ISNUMBER(Datos!L10),Datos!L10,"-")</f>
        <v>105</v>
      </c>
      <c r="AG10" s="504"/>
      <c r="AH10" s="504"/>
      <c r="AI10" s="504"/>
      <c r="AJ10" s="504"/>
      <c r="AK10" s="504"/>
      <c r="AL10" s="505"/>
      <c r="AM10" s="672">
        <f>IF(ISNUMBER(Datos!R10),Datos!R10," - ")</f>
        <v>74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8</v>
      </c>
      <c r="BE10" s="620" t="str">
        <f>IF(ISNUMBER(Datos!BW10),Datos!BW10," - ")</f>
        <v xml:space="preserve"> - </v>
      </c>
      <c r="BF10" s="668" t="str">
        <f>IF(ISNUMBER(Datos!BX10),Datos!BX10," - ")</f>
        <v xml:space="preserve"> - </v>
      </c>
      <c r="BG10" s="669">
        <f>IF(ISNUMBER(Datos!K10/Datos!J10),Datos!K10/Datos!J10," - ")</f>
        <v>0.59523809523809523</v>
      </c>
      <c r="BH10" s="670">
        <f>IF(ISNUMBER(((Datos!L10/Datos!K10)*11)/factor_trimestre),((Datos!L10/Datos!K10)*11)/factor_trimestre," - ")</f>
        <v>12.600000000000001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7.2463768115942032E-2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128</v>
      </c>
      <c r="O11" s="504"/>
      <c r="P11" s="504"/>
      <c r="Q11" s="502">
        <f>IF(ISNUMBER(Datos!P11),Datos!P11,0)</f>
        <v>7</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17</v>
      </c>
      <c r="AD11" s="504"/>
      <c r="AE11" s="517"/>
      <c r="AF11" s="506" t="str">
        <f>IF(ISNUMBER(IF(J_V="SI",Datos!L11,Datos!L11+Datos!AB11)-IF(Monitorios="SI",Datos!CD11,0)),
                          IF(J_V="SI",Datos!L11,Datos!L11+Datos!AB11)-IF(Monitorios="SI",Datos!CD11,0),
                          " - ")</f>
        <v xml:space="preserve"> - </v>
      </c>
      <c r="AG11" s="504"/>
      <c r="AH11" s="504">
        <f>IF(ISNUMBER(Datos!AB11),Datos!AB11,"-")</f>
        <v>102</v>
      </c>
      <c r="AI11" s="504"/>
      <c r="AJ11" s="504"/>
      <c r="AK11" s="504"/>
      <c r="AL11" s="505"/>
      <c r="AM11" s="672">
        <f>IF(ISNUMBER(Datos!R11),Datos!R11," - ")</f>
        <v>479</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60</v>
      </c>
      <c r="BD11" s="620">
        <f>IF(ISNUMBER(Datos!N11),Datos!N11," - ")</f>
        <v>161</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0.59759036144578315</v>
      </c>
      <c r="BH11" s="670">
        <f>IF(ISNUMBER(((IF(J_V="SI",Datos!L11/Datos!K11,(Datos!L11+Datos!AB11)/(Datos!K11+Datos!AA11)))*11)/factor_trimestre),((IF(J_V="SI",Datos!L11/Datos!K11,(Datos!L11+Datos!AB11)/(Datos!K11+Datos!AA11)))*11)/factor_trimestre," - ")</f>
        <v>7.754032258064516</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-2.0449897750511249E-2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88</v>
      </c>
      <c r="G14" s="1045">
        <f t="shared" si="1"/>
        <v>88</v>
      </c>
      <c r="H14" s="1046">
        <f t="shared" si="1"/>
        <v>0</v>
      </c>
      <c r="I14" s="1045">
        <f t="shared" si="1"/>
        <v>0</v>
      </c>
      <c r="J14" s="1014">
        <f t="shared" si="1"/>
        <v>0</v>
      </c>
      <c r="K14" s="1014">
        <f t="shared" si="1"/>
        <v>0</v>
      </c>
      <c r="L14" s="1046">
        <f t="shared" si="1"/>
        <v>0</v>
      </c>
      <c r="M14" s="1046">
        <f t="shared" si="1"/>
        <v>0</v>
      </c>
      <c r="N14" s="1046">
        <f t="shared" si="1"/>
        <v>170</v>
      </c>
      <c r="O14" s="1047">
        <f t="shared" si="1"/>
        <v>0</v>
      </c>
      <c r="P14" s="1047">
        <f t="shared" si="1"/>
        <v>0</v>
      </c>
      <c r="Q14" s="1046">
        <f t="shared" si="1"/>
        <v>297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25</v>
      </c>
      <c r="AC14" s="1046">
        <f t="shared" si="2"/>
        <v>1615</v>
      </c>
      <c r="AD14" s="1046">
        <f t="shared" si="2"/>
        <v>0</v>
      </c>
      <c r="AE14" s="1046">
        <f t="shared" si="2"/>
        <v>0</v>
      </c>
      <c r="AF14" s="1046">
        <f t="shared" si="2"/>
        <v>105</v>
      </c>
      <c r="AG14" s="1046">
        <f t="shared" si="2"/>
        <v>0</v>
      </c>
      <c r="AH14" s="1046">
        <f t="shared" si="2"/>
        <v>255</v>
      </c>
      <c r="AI14" s="1046">
        <f t="shared" si="2"/>
        <v>0</v>
      </c>
      <c r="AJ14" s="1046">
        <f t="shared" si="2"/>
        <v>0</v>
      </c>
      <c r="AK14" s="1046">
        <f t="shared" si="2"/>
        <v>0</v>
      </c>
      <c r="AL14" s="1046">
        <f t="shared" si="2"/>
        <v>0</v>
      </c>
      <c r="AM14" s="1046">
        <f t="shared" si="2"/>
        <v>9047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412</v>
      </c>
      <c r="BD14" s="1046">
        <f t="shared" si="2"/>
        <v>495</v>
      </c>
      <c r="BE14" s="1046">
        <f t="shared" si="2"/>
        <v>0</v>
      </c>
      <c r="BF14" s="1046">
        <f t="shared" si="2"/>
        <v>0</v>
      </c>
      <c r="BG14" s="1046">
        <f>IF(ISNUMBER(Datos!K14/Datos!J14),Datos!K14/Datos!J14," - ")</f>
        <v>1.0227870289219982</v>
      </c>
      <c r="BH14" s="1050">
        <f>IF(ISNUMBER(((Datos!L14/Datos!K14)*11)/factor_trimestre),((Datos!L14/Datos!K14)*11)/factor_trimestre," - ")</f>
        <v>14.120822622107969</v>
      </c>
      <c r="BI14" s="1046">
        <f>IF(ISNUMBER('Resol  Asuntos'!D14/NºAsuntos!G14),'Resol  Asuntos'!D14/NºAsuntos!G14," - ")</f>
        <v>0.3149847094801223</v>
      </c>
      <c r="BJ14" s="1046" t="str">
        <f>IF(ISNUMBER(Datos!CI14/Datos!CJ14),Datos!CI14/Datos!CJ14," - ")</f>
        <v xml:space="preserve"> - </v>
      </c>
      <c r="BK14" s="1046">
        <f>SUBTOTAL(9,BK8:BK13)</f>
        <v>0</v>
      </c>
      <c r="BL14" s="1046">
        <f>IF(ISNUMBER((I14-AB14+L14)/(F14)),(I14-AB14+L14)/(F14)," - ")</f>
        <v>-0.28409090909090912</v>
      </c>
      <c r="BM14" s="1051">
        <f>SUBTOTAL(9,BM9:BM13)</f>
        <v>-8.1870090070992163E-2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3331</v>
      </c>
      <c r="G16" s="651">
        <f>IF(ISNUMBER(IF(D_I="SI",Datos!I16,Datos!I16+Datos!AC16)),IF(D_I="SI",Datos!I16,Datos!I16+Datos!AC16)," - ")</f>
        <v>3316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109</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1403</v>
      </c>
      <c r="AC16" s="231">
        <f>IF(ISNUMBER(Datos!Q16),Datos!Q16," - ")</f>
        <v>80</v>
      </c>
      <c r="AD16" s="344"/>
      <c r="AE16" s="516"/>
      <c r="AF16" s="649">
        <f>IF(ISNUMBER(IF(D_I="SI",Datos!L16,Datos!L16+Datos!AF16)),IF(D_I="SI",Datos!L16,Datos!L16+Datos!AF16)," - ")</f>
        <v>4060</v>
      </c>
      <c r="AG16" s="344"/>
      <c r="AH16" s="344"/>
      <c r="AI16" s="344"/>
      <c r="AJ16" s="504"/>
      <c r="AK16" s="344"/>
      <c r="AL16" s="500"/>
      <c r="AM16" s="345">
        <f>IF(ISNUMBER(Datos!R16),Datos!R16," - ")</f>
        <v>540</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225</v>
      </c>
      <c r="BD16" s="234">
        <f>IF(ISNUMBER(Datos!N16),Datos!N16," - ")</f>
        <v>699</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0.65806754221388364</v>
      </c>
      <c r="BH16" s="670">
        <f>IF(ISNUMBER(((IF(D_I="SI",Datos!L16/Datos!K16,(Datos!L16+Datos!AF16)/(Datos!K16+Datos!AE16)))*11)/factor_trimestre),((IF(D_I="SI",Datos!L16/Datos!K16,(Datos!L16+Datos!AF16)/(Datos!K16+Datos!AE16)))*11)/factor_trimestre," - ")</f>
        <v>8.6813970064148265</v>
      </c>
      <c r="BI16" s="248">
        <f>IF(ISNUMBER('Resol  Asuntos'!D16/NºAsuntos!G16),'Resol  Asuntos'!D16/NºAsuntos!G16," - ")</f>
        <v>0.16037063435495366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274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234</v>
      </c>
      <c r="AC18" s="502">
        <f>IF(ISNUMBER(Datos!Q18),Datos!Q18," - ")</f>
        <v>1</v>
      </c>
      <c r="AD18" s="504"/>
      <c r="AE18" s="516"/>
      <c r="AF18" s="506">
        <f>IF(ISNUMBER(Datos!L18),Datos!L18,"-")</f>
        <v>272</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122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1.0086206896551724</v>
      </c>
      <c r="BH18" s="670">
        <f>IF(ISNUMBER(((IF(D_I="SI",Datos!L18/Datos!K18,(Datos!L18+Datos!AF18)/(Datos!K18+Datos!AE18)))*11)/factor_trimestre),((IF(D_I="SI",Datos!L18/Datos!K18,(Datos!L18+Datos!AF18)/(Datos!K18+Datos!AE18)))*11)/factor_trimestre," - ")</f>
        <v>3.4871794871794877</v>
      </c>
      <c r="BI18" s="669">
        <f>IF(ISNUMBER('Resol  Asuntos'!D18/NºAsuntos!G18),'Resol  Asuntos'!D18/NºAsuntos!G18," - ")</f>
        <v>2.1367521367521368E-2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3331</v>
      </c>
      <c r="G20" s="1045">
        <f>SUBTOTAL(9,G16:G19)</f>
        <v>3590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1637</v>
      </c>
      <c r="AC20" s="1046">
        <f t="shared" si="5"/>
        <v>81</v>
      </c>
      <c r="AD20" s="1046">
        <f t="shared" si="5"/>
        <v>0</v>
      </c>
      <c r="AE20" s="1046">
        <f t="shared" si="5"/>
        <v>0</v>
      </c>
      <c r="AF20" s="1046">
        <f t="shared" si="5"/>
        <v>4332</v>
      </c>
      <c r="AG20" s="1046">
        <f t="shared" si="5"/>
        <v>0</v>
      </c>
      <c r="AH20" s="1046">
        <f t="shared" si="5"/>
        <v>0</v>
      </c>
      <c r="AI20" s="1046">
        <f t="shared" si="5"/>
        <v>0</v>
      </c>
      <c r="AJ20" s="1046">
        <f t="shared" si="5"/>
        <v>0</v>
      </c>
      <c r="AK20" s="1046">
        <f t="shared" si="5"/>
        <v>0</v>
      </c>
      <c r="AL20" s="1046">
        <f t="shared" si="5"/>
        <v>0</v>
      </c>
      <c r="AM20" s="1046">
        <f t="shared" si="5"/>
        <v>543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230</v>
      </c>
      <c r="BD20" s="1046">
        <f t="shared" si="5"/>
        <v>821</v>
      </c>
      <c r="BE20" s="1046">
        <f t="shared" si="5"/>
        <v>0</v>
      </c>
      <c r="BF20" s="1046">
        <f t="shared" si="5"/>
        <v>0</v>
      </c>
      <c r="BG20" s="1046">
        <f>IF(ISNUMBER(Datos!K20/Datos!J20),Datos!K20/Datos!J20," - ")</f>
        <v>0.69247038917089676</v>
      </c>
      <c r="BH20" s="1050">
        <f>IF(ISNUMBER(((Datos!L20/Datos!K20)*11)/factor_trimestre),((Datos!L20/Datos!K20)*11)/factor_trimestre," - ")</f>
        <v>7.9389126450824685</v>
      </c>
      <c r="BI20" s="1046">
        <f>SUBTOTAL(9,BI16:BI19)</f>
        <v>0.18173815572247504</v>
      </c>
      <c r="BJ20" s="1046">
        <f>SUBTOTAL(9,BJ16:BJ19)</f>
        <v>0</v>
      </c>
      <c r="BK20" s="1046">
        <f>SUBTOTAL(9,BK16:BK19)</f>
        <v>0</v>
      </c>
      <c r="BL20" s="1046">
        <f>IF(ISNUMBER((I20-AB20+L20)/(F20)),(I20-AB20+L20)/(F20)," - ")</f>
        <v>-0.49144401080756528</v>
      </c>
      <c r="BM20" s="1052">
        <f>IF(ISNUMBER((Datos!P20-Datos!Q20)/(Datos!R20-Datos!P20+Datos!Q20)),(Datos!P20-Datos!Q20)/(Datos!R20-Datos!P20+Datos!Q20)," - ")</f>
        <v>6.262230919765166E-2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13</v>
      </c>
      <c r="F21" s="967">
        <f t="shared" si="7"/>
        <v>3419</v>
      </c>
      <c r="G21" s="967">
        <f t="shared" si="7"/>
        <v>3678</v>
      </c>
      <c r="H21" s="969">
        <f t="shared" si="7"/>
        <v>0</v>
      </c>
      <c r="I21" s="967">
        <f t="shared" si="7"/>
        <v>0</v>
      </c>
      <c r="J21" s="969">
        <f t="shared" si="7"/>
        <v>0</v>
      </c>
      <c r="K21" s="969">
        <f t="shared" si="7"/>
        <v>0</v>
      </c>
      <c r="L21" s="1028">
        <f t="shared" si="7"/>
        <v>0</v>
      </c>
      <c r="M21" s="1028">
        <f t="shared" si="7"/>
        <v>0</v>
      </c>
      <c r="N21" s="1028">
        <f t="shared" si="7"/>
        <v>170</v>
      </c>
      <c r="O21" s="1028">
        <f t="shared" si="7"/>
        <v>0</v>
      </c>
      <c r="P21" s="1028">
        <f t="shared" si="7"/>
        <v>0</v>
      </c>
      <c r="Q21" s="969">
        <f t="shared" si="7"/>
        <v>410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1662</v>
      </c>
      <c r="AC21" s="968">
        <f t="shared" si="8"/>
        <v>1696</v>
      </c>
      <c r="AD21" s="968">
        <f t="shared" si="8"/>
        <v>0</v>
      </c>
      <c r="AE21" s="968">
        <f t="shared" si="8"/>
        <v>0</v>
      </c>
      <c r="AF21" s="975">
        <f t="shared" si="8"/>
        <v>4437</v>
      </c>
      <c r="AG21" s="975">
        <f t="shared" si="8"/>
        <v>0</v>
      </c>
      <c r="AH21" s="975">
        <f t="shared" si="8"/>
        <v>255</v>
      </c>
      <c r="AI21" s="975">
        <f t="shared" si="8"/>
        <v>0</v>
      </c>
      <c r="AJ21" s="968">
        <f t="shared" si="8"/>
        <v>0</v>
      </c>
      <c r="AK21" s="975">
        <f t="shared" si="8"/>
        <v>0</v>
      </c>
      <c r="AL21" s="975">
        <f t="shared" si="8"/>
        <v>0</v>
      </c>
      <c r="AM21" s="975">
        <f t="shared" si="8"/>
        <v>9590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642</v>
      </c>
      <c r="BD21" s="967">
        <f t="shared" si="8"/>
        <v>1316</v>
      </c>
      <c r="BE21" s="967">
        <f t="shared" si="8"/>
        <v>0</v>
      </c>
      <c r="BF21" s="977">
        <f t="shared" si="8"/>
        <v>0</v>
      </c>
      <c r="BG21" s="1062">
        <f>IF(ISNUMBER(Datos!K21/Datos!J21),Datos!K21/Datos!J21," - ")</f>
        <v>0.8</v>
      </c>
      <c r="BH21" s="1062">
        <f>IF(ISNUMBER(((Datos!L21/Datos!K21)*11)/factor_trimestre),((Datos!L21/Datos!K21)*11)/factor_trimestre," - ")</f>
        <v>10.511768901569187</v>
      </c>
      <c r="BI21" s="960">
        <f>IF(ISNUMBER(Datos!J21/Datos!I21),Datos!J21/Datos!I21," - ")</f>
        <v>0.38478427928422437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-0.48610704884469141</v>
      </c>
      <c r="BM21" s="1036">
        <f>IF(ISNUMBER((Datos!P21-Datos!Q21+R21)/(Datos!R21-Datos!P21+Datos!Q21-R21)),(Datos!P21-Datos!Q21+R21)/(Datos!R21-Datos!P21+Datos!Q21-R21)," - ")</f>
        <v>-0.11824200073556454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1471.2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2.9418608829354005</v>
      </c>
      <c r="F23" s="600">
        <f>IF(ISNUMBER(STDEV(F8:F20)),STDEV(F8:F20),"-")</f>
        <v>1872.3469229819564</v>
      </c>
      <c r="G23" s="601">
        <f>IF(ISNUMBER(STDEV(G8:G20)),STDEV(G8:G20),"-")</f>
        <v>1813.3100121049351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789.68170803178668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161.82074150414829</v>
      </c>
      <c r="BD23" s="600"/>
      <c r="BE23" s="600">
        <f>IF(ISNUMBER(STDEV(BE8:BE20)),STDEV(BE8:BE20),"-")</f>
        <v>0</v>
      </c>
      <c r="BF23" s="605">
        <f>IF(ISNUMBER(STDEV(BF8:BF20)),STDEV(BF8:BF20),"-")</f>
        <v>0</v>
      </c>
      <c r="BG23" s="915">
        <f>IF(ISNUMBER(STDEV(BG8:BG20)),STDEV(BG8:BG20),"-")</f>
        <v>0.24915803897747821</v>
      </c>
      <c r="BH23" s="919">
        <f>IF(ISNUMBER(STDEV(BH8:BH20)),STDEV(BH8:BH20),"-")</f>
        <v>4.0271051547394405</v>
      </c>
      <c r="BI23" s="254">
        <f>IF(ISNUMBER(STDEV(BI8:BI20)),STDEV(BI8:BI20),"-")</f>
        <v>0.12019719430421061</v>
      </c>
      <c r="BJ23" s="235" t="str">
        <f>IF(ISNUMBER(BL23/BM23),BL23/BM23," - ")</f>
        <v xml:space="preserve"> - </v>
      </c>
      <c r="BK23" s="627"/>
      <c r="BL23" s="608">
        <f>IF(ISNUMBER(STDEV(BL8:BL20)),STDEV(BL8:BL20),"-")</f>
        <v>0.14662078432391146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DZab4y7OsauIRBFtHYsE4r/8W5a3p+mntgzHcJeCMn+PB2FwAlNB/5BGQrTta/1JaQ5ojG0Qr3Amh+5SJKsuA==" saltValue="EMpG+2UZZ7CrGmZ74aAa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ALBACETE  Resumenes por Partidos Judiciales  ALBACETE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272</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1585</v>
      </c>
      <c r="AA9" s="506" t="str">
        <f>IF(ISNUMBER(IF(J_V="SI",Datos!L9,Datos!L9+Datos!AB9)-IF(Monitorios="SI",Datos!CD9,0)),
                          IF(J_V="SI",Datos!L9,Datos!L9+Datos!AB9)-IF(Monitorios="SI",Datos!CD9,0),
                          " - ")</f>
        <v xml:space="preserve"> - </v>
      </c>
      <c r="AB9" s="504"/>
      <c r="AC9" s="504"/>
      <c r="AD9" s="517"/>
      <c r="AE9" s="517">
        <f>IF(ISNUMBER(Datos!R9),Datos!R9," - ")</f>
        <v>8494</v>
      </c>
      <c r="AF9" s="620" t="str">
        <f>IF(ISNUMBER(Datos!BV9),Datos!BV9," - ")</f>
        <v xml:space="preserve"> - </v>
      </c>
      <c r="AG9" s="507" t="str">
        <f>IF(ISNUMBER(Datos!DV9),Datos!DV9," - ")</f>
        <v xml:space="preserve"> - </v>
      </c>
      <c r="AH9" s="508"/>
      <c r="AI9" s="509"/>
      <c r="AJ9" s="507">
        <f>IF(ISNUMBER(Datos!M9),Datos!M9," - ")</f>
        <v>340</v>
      </c>
      <c r="AK9" s="620">
        <f>IF(ISNUMBER(Datos!N9),Datos!N9," - ")</f>
        <v>326</v>
      </c>
      <c r="AL9" s="620" t="str">
        <f>IF(ISNUMBER(Datos!BW9),Datos!BW9," - ")</f>
        <v xml:space="preserve"> - </v>
      </c>
      <c r="AM9" s="668" t="str">
        <f>IF(ISNUMBER(Datos!BX9),Datos!BX9," - ")</f>
        <v xml:space="preserve"> - </v>
      </c>
      <c r="AN9" s="669"/>
      <c r="AO9" s="670">
        <f>IF(ISNUMBER(((NºAsuntos!I9/NºAsuntos!G9)*11)/factor_trimestre),((NºAsuntos!I9/NºAsuntos!G9)*11)/factor_trimestre," - ")</f>
        <v>14.498550724637683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-0.13388396043642295</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88</v>
      </c>
      <c r="G10" s="507">
        <f>IF(ISNUMBER(Datos!I10),Datos!I10," - ")</f>
        <v>88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25</v>
      </c>
      <c r="Z10" s="704">
        <f>IF(ISNUMBER(Datos!Q10),Datos!Q10," - ")</f>
        <v>13</v>
      </c>
      <c r="AA10" s="506">
        <f>IF(ISNUMBER(Datos!L10),Datos!L10,"-")</f>
        <v>105</v>
      </c>
      <c r="AB10" s="504"/>
      <c r="AC10" s="504"/>
      <c r="AD10" s="517"/>
      <c r="AE10" s="517">
        <f>IF(ISNUMBER(Datos!R10),Datos!R10," - ")</f>
        <v>74</v>
      </c>
      <c r="AF10" s="620" t="str">
        <f>IF(ISNUMBER(Datos!BV10),Datos!BV10," - ")</f>
        <v xml:space="preserve"> - </v>
      </c>
      <c r="AG10" s="507" t="str">
        <f>IF(ISNUMBER(Datos!DV10),Datos!DV10," - ")</f>
        <v xml:space="preserve"> - </v>
      </c>
      <c r="AH10" s="508"/>
      <c r="AI10" s="509"/>
      <c r="AJ10" s="507">
        <f>IF(ISNUMBER(Datos!M10),Datos!M10," - ")</f>
        <v>12</v>
      </c>
      <c r="AK10" s="620">
        <f>IF(ISNUMBER(Datos!N10),Datos!N10," - ")</f>
        <v>8</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12.600000000000001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7.2463768115942032E-2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7</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17</v>
      </c>
      <c r="AA11" s="506" t="str">
        <f>IF(ISNUMBER(IF(J_V="SI",Datos!L11,Datos!L11+Datos!AB11)-IF(Monitorios="SI",Datos!CD11,0)),
                          IF(J_V="SI",Datos!L11,Datos!L11+Datos!AB11)-IF(Monitorios="SI",Datos!CD11,0),
                          " - ")</f>
        <v xml:space="preserve"> - </v>
      </c>
      <c r="AB11" s="504"/>
      <c r="AC11" s="504"/>
      <c r="AD11" s="517"/>
      <c r="AE11" s="517">
        <f>IF(ISNUMBER(Datos!R11),Datos!R11," - ")</f>
        <v>479</v>
      </c>
      <c r="AF11" s="620" t="str">
        <f>IF(ISNUMBER(Datos!BV11),Datos!BV11," - ")</f>
        <v xml:space="preserve"> - </v>
      </c>
      <c r="AG11" s="507" t="str">
        <f>IF(ISNUMBER(Datos!DV11),Datos!DV11," - ")</f>
        <v xml:space="preserve"> - </v>
      </c>
      <c r="AH11" s="508"/>
      <c r="AI11" s="509"/>
      <c r="AJ11" s="507">
        <f>IF(ISNUMBER(Datos!M11),Datos!M11," - ")</f>
        <v>60</v>
      </c>
      <c r="AK11" s="620">
        <f>IF(ISNUMBER(Datos!N11),Datos!N11," - ")</f>
        <v>161</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7.754032258064516</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-2.0449897750511249E-2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88</v>
      </c>
      <c r="G14" s="1045">
        <f>SUBTOTAL(9,G8:G13)</f>
        <v>88</v>
      </c>
      <c r="H14" s="1055"/>
      <c r="I14" s="1045">
        <f t="shared" ref="I14:N14" si="1">SUBTOTAL(9,I8:I13)</f>
        <v>0</v>
      </c>
      <c r="J14" s="1014">
        <f t="shared" si="1"/>
        <v>0</v>
      </c>
      <c r="K14" s="1055">
        <f t="shared" si="1"/>
        <v>0</v>
      </c>
      <c r="L14" s="1055">
        <f t="shared" si="1"/>
        <v>0</v>
      </c>
      <c r="M14" s="1055">
        <f t="shared" si="1"/>
        <v>0</v>
      </c>
      <c r="N14" s="1055">
        <f t="shared" si="1"/>
        <v>297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25</v>
      </c>
      <c r="Z14" s="1054">
        <f t="shared" si="3"/>
        <v>1615</v>
      </c>
      <c r="AA14" s="1047">
        <f t="shared" si="3"/>
        <v>105</v>
      </c>
      <c r="AB14" s="1047">
        <f t="shared" si="3"/>
        <v>0</v>
      </c>
      <c r="AC14" s="1047">
        <f t="shared" si="3"/>
        <v>0</v>
      </c>
      <c r="AD14" s="1047">
        <f t="shared" si="3"/>
        <v>0</v>
      </c>
      <c r="AE14" s="1047">
        <f t="shared" si="3"/>
        <v>9047</v>
      </c>
      <c r="AF14" s="1055">
        <f t="shared" si="3"/>
        <v>0</v>
      </c>
      <c r="AG14" s="1055">
        <f t="shared" si="3"/>
        <v>0</v>
      </c>
      <c r="AH14" s="1055">
        <f t="shared" si="3"/>
        <v>0</v>
      </c>
      <c r="AI14" s="1055">
        <f t="shared" si="3"/>
        <v>0</v>
      </c>
      <c r="AJ14" s="1055">
        <f t="shared" si="3"/>
        <v>412</v>
      </c>
      <c r="AK14" s="1055">
        <f t="shared" si="3"/>
        <v>495</v>
      </c>
      <c r="AL14" s="1055">
        <f t="shared" si="3"/>
        <v>0</v>
      </c>
      <c r="AM14" s="1055">
        <f t="shared" si="3"/>
        <v>0</v>
      </c>
      <c r="AN14" s="1055">
        <f t="shared" si="3"/>
        <v>0</v>
      </c>
      <c r="AO14" s="1051">
        <f>IF(ISNUMBER(((NºAsuntos!I14/NºAsuntos!G14)*11)/factor_trimestre),((NºAsuntos!I14/NºAsuntos!G14)*11)/factor_trimestre," - ")</f>
        <v>13.18348623853211</v>
      </c>
      <c r="AP14" s="1057" t="str">
        <f>IF(ISNUMBER(Datos!CI14/Datos!CJ14),Datos!CI14/Datos!CJ14," - ")</f>
        <v xml:space="preserve"> - </v>
      </c>
      <c r="AQ14" s="1075">
        <f t="shared" ref="AQ14:AV14" si="4">SUBTOTAL(9,AQ9:AQ13)</f>
        <v>0</v>
      </c>
      <c r="AR14" s="1075">
        <f t="shared" si="4"/>
        <v>-8.1870090070992163E-2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3331</v>
      </c>
      <c r="G16" s="507">
        <f>IF(ISNUMBER(IF(D_I="SI",Datos!I16,Datos!I16+Datos!AC16)),IF(D_I="SI",Datos!I16,Datos!I16+Datos!AC16)," - ")</f>
        <v>3316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109</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1403</v>
      </c>
      <c r="Z16" s="704">
        <f>IF(ISNUMBER(Datos!Q16),Datos!Q16," - ")</f>
        <v>80</v>
      </c>
      <c r="AA16" s="506">
        <f>IF(ISNUMBER(IF(D_I="SI",Datos!L16,Datos!L16+Datos!AF16)),IF(D_I="SI",Datos!L16,Datos!L16+Datos!AF16)," - ")</f>
        <v>4060</v>
      </c>
      <c r="AB16" s="504"/>
      <c r="AC16" s="504"/>
      <c r="AD16" s="517"/>
      <c r="AE16" s="517">
        <f>IF(ISNUMBER(Datos!R16),Datos!R16," - ")</f>
        <v>540</v>
      </c>
      <c r="AF16" s="620" t="str">
        <f>IF(ISNUMBER(Datos!BV16),Datos!BV16," - ")</f>
        <v xml:space="preserve"> - </v>
      </c>
      <c r="AG16" s="507"/>
      <c r="AH16" s="508"/>
      <c r="AI16" s="509"/>
      <c r="AJ16" s="507">
        <f>IF(ISNUMBER(Datos!M16),Datos!M16," - ")</f>
        <v>225</v>
      </c>
      <c r="AK16" s="620">
        <f>IF(ISNUMBER(Datos!N16),Datos!N16," - ")</f>
        <v>699</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8.6813970064148265</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274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234</v>
      </c>
      <c r="Z18" s="704">
        <f>IF(ISNUMBER(Datos!Q18),Datos!Q18," - ")</f>
        <v>1</v>
      </c>
      <c r="AA18" s="506">
        <f>IF(ISNUMBER(Datos!L18),Datos!L18,"-")</f>
        <v>272</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5</v>
      </c>
      <c r="AK18" s="620">
        <f>IF(ISNUMBER(Datos!N18),Datos!N18," - ")</f>
        <v>122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3.4871794871794877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3331</v>
      </c>
      <c r="G20" s="1045">
        <f>SUBTOTAL(9,G16:G19)</f>
        <v>3590</v>
      </c>
      <c r="H20" s="1079">
        <f>SUBTOTAL(9,H16:H19)</f>
        <v>0</v>
      </c>
      <c r="I20" s="1058">
        <f>SUBTOTAL(9,I16:I19)</f>
        <v>0</v>
      </c>
      <c r="J20" s="1014">
        <f>SUBTOTAL(9,J15:J19)</f>
        <v>0</v>
      </c>
      <c r="K20" s="1079">
        <f t="shared" ref="K20:S20" si="5">SUBTOTAL(9,K16:K19)</f>
        <v>0</v>
      </c>
      <c r="L20" s="1079">
        <f t="shared" si="5"/>
        <v>0</v>
      </c>
      <c r="M20" s="1079">
        <f t="shared" si="5"/>
        <v>0</v>
      </c>
      <c r="N20" s="1079">
        <f t="shared" si="5"/>
        <v>113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1637</v>
      </c>
      <c r="Z20" s="1079">
        <f t="shared" si="6"/>
        <v>81</v>
      </c>
      <c r="AA20" s="1079">
        <f t="shared" si="6"/>
        <v>4332</v>
      </c>
      <c r="AB20" s="1079">
        <f t="shared" si="6"/>
        <v>0</v>
      </c>
      <c r="AC20" s="1079">
        <f t="shared" si="6"/>
        <v>0</v>
      </c>
      <c r="AD20" s="1079">
        <f t="shared" si="6"/>
        <v>0</v>
      </c>
      <c r="AE20" s="1079">
        <f t="shared" si="6"/>
        <v>543</v>
      </c>
      <c r="AF20" s="1079">
        <f t="shared" si="6"/>
        <v>0</v>
      </c>
      <c r="AG20" s="1079">
        <f t="shared" si="6"/>
        <v>0</v>
      </c>
      <c r="AH20" s="1079">
        <f t="shared" si="6"/>
        <v>0</v>
      </c>
      <c r="AI20" s="1079">
        <f t="shared" si="6"/>
        <v>0</v>
      </c>
      <c r="AJ20" s="1079">
        <f t="shared" si="6"/>
        <v>230</v>
      </c>
      <c r="AK20" s="1079">
        <f t="shared" si="6"/>
        <v>821</v>
      </c>
      <c r="AL20" s="1079">
        <f t="shared" si="6"/>
        <v>0</v>
      </c>
      <c r="AM20" s="1079">
        <f t="shared" si="6"/>
        <v>0</v>
      </c>
      <c r="AN20" s="1079">
        <f t="shared" si="6"/>
        <v>0</v>
      </c>
      <c r="AO20" s="1081">
        <f>IF(ISNUMBER(((NºAsuntos!I20/NºAsuntos!G20)*11)/factor_trimestre),((NºAsuntos!I20/NºAsuntos!G20)*11)/factor_trimestre," - ")</f>
        <v>7.9389126450824685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13</v>
      </c>
      <c r="F21" s="967">
        <f t="shared" si="8"/>
        <v>3419</v>
      </c>
      <c r="G21" s="967">
        <f t="shared" si="8"/>
        <v>3678</v>
      </c>
      <c r="H21" s="968">
        <f t="shared" si="8"/>
        <v>0</v>
      </c>
      <c r="I21" s="967">
        <f t="shared" si="8"/>
        <v>0</v>
      </c>
      <c r="J21" s="969">
        <f t="shared" si="8"/>
        <v>0</v>
      </c>
      <c r="K21" s="967">
        <f t="shared" si="8"/>
        <v>0</v>
      </c>
      <c r="L21" s="970">
        <f t="shared" si="8"/>
        <v>0</v>
      </c>
      <c r="M21" s="967">
        <f t="shared" si="8"/>
        <v>0</v>
      </c>
      <c r="N21" s="968">
        <f t="shared" si="8"/>
        <v>410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1662</v>
      </c>
      <c r="Z21" s="974">
        <f t="shared" si="9"/>
        <v>1696</v>
      </c>
      <c r="AA21" s="975">
        <f t="shared" si="9"/>
        <v>4437</v>
      </c>
      <c r="AB21" s="975">
        <f t="shared" si="9"/>
        <v>0</v>
      </c>
      <c r="AC21" s="975">
        <f t="shared" si="9"/>
        <v>0</v>
      </c>
      <c r="AD21" s="976">
        <f t="shared" si="9"/>
        <v>0</v>
      </c>
      <c r="AE21" s="976">
        <f t="shared" si="9"/>
        <v>9590</v>
      </c>
      <c r="AF21" s="977">
        <f t="shared" si="9"/>
        <v>0</v>
      </c>
      <c r="AG21" s="978">
        <f t="shared" si="9"/>
        <v>0</v>
      </c>
      <c r="AH21" s="979">
        <f t="shared" si="9"/>
        <v>0</v>
      </c>
      <c r="AI21" s="977">
        <f t="shared" si="9"/>
        <v>0</v>
      </c>
      <c r="AJ21" s="967">
        <f t="shared" si="9"/>
        <v>642</v>
      </c>
      <c r="AK21" s="967">
        <f t="shared" si="9"/>
        <v>1316</v>
      </c>
      <c r="AL21" s="967">
        <f t="shared" si="9"/>
        <v>0</v>
      </c>
      <c r="AM21" s="980">
        <f t="shared" si="9"/>
        <v>0</v>
      </c>
      <c r="AN21" s="970">
        <f>IF(ISNUMBER(Datos!K21/Datos!J21),Datos!K21/Datos!J21," - ")</f>
        <v>0.8</v>
      </c>
      <c r="AO21" s="970">
        <f>IF(ISNUMBER(FIND("06",Criterios!A8,1)),(IF(ISNUMBER(((Datos!R21/Datos!Q21)*11)/factor_trimestre),((Datos!R21/Datos!Q21)*11)/factor_trimestre," - ")),(IF(ISNUMBER(((Datos!L21/Datos!K21)*11)/factor_trimestre),((Datos!L21/Datos!K21)*11)/factor_trimestre," - ")))</f>
        <v>10.511768901569187</v>
      </c>
      <c r="AP21" s="981" t="str">
        <f>IF(ISNUMBER(Datos!CI21/Datos!CJ21),Datos!CI21/Datos!CJ21," - ")</f>
        <v xml:space="preserve"> - </v>
      </c>
      <c r="AQ21" s="981">
        <f>IF(OR(ISNUMBER(FIND("01",Criterios!A8,1)),ISNUMBER(FIND("02",Criterios!A8,1)),ISNUMBER(FIND("03",Criterios!A8,1)),ISNUMBER(FIND("04",Criterios!A8,1))),(J21-Y21+K21)/(F21-K21),(I21-Y21+K21)/(F21-K21))</f>
        <v>-0.48610704884469141</v>
      </c>
      <c r="AR21" s="981">
        <f>IF(ISNUMBER((Datos!P21-Datos!Q21+O21)/(Datos!R21-Datos!P21+Datos!Q21-O21)),(Datos!P21-Datos!Q21+O21)/(Datos!R21-Datos!P21+Datos!Q21-O21)," - ")</f>
        <v>-0.11824200073556454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1471.2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1872.3469229819564</v>
      </c>
      <c r="G23" s="601">
        <f>IF(ISNUMBER(STDEV(G8:G20)),STDEV(G8:G20),"-")</f>
        <v>1813.3100121049351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161.82074150414829</v>
      </c>
      <c r="AK23" s="257"/>
      <c r="AL23" s="257">
        <f>IF(ISNUMBER(STDEV(AL8:AL20)),STDEV(AL8:AL20),"-")</f>
        <v>0</v>
      </c>
      <c r="AM23" s="259">
        <f>IF(ISNUMBER(STDEV(AM8:AM20)),STDEV(AM8:AM20),"-")</f>
        <v>0</v>
      </c>
      <c r="AN23" s="587">
        <f>IF(ISNUMBER(STDEV(AN8:AN20)),STDEV(AN8:AN20),"-")</f>
        <v>0</v>
      </c>
      <c r="AO23" s="588">
        <f>IF(ISNUMBER(STDEV(AO8:AO20)),STDEV(AO8:AO20),"-")</f>
        <v>3.8748591577895595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e13zUB5w1x5gAsPxqP9GW7HM60usOmX7ody0fImMQHw3bm1jvdoU6Pd1bpB51735xcvjsyPopF1cN0c2k4ykg==" saltValue="mCGbzYvDw/Qa8Z8Ynrd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Ae1rAdag+XW8GN02/9mP6e9MuzU612fHfaf5xrOg+ppnorcGKhDtZLg6GhmUMzSQoO3Yq0MBA2DPEwjTvRUGA==" saltValue="rUABCCtrpta0tRezKSyN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KBk/1Y8YeFopSJJ3XZX7hMEDOEuLOEyNXSd695AzAbjvORH8Ja/wp1KQRRJ1AB8//jaIdL+CWtTYIl8041GTg==" saltValue="8xecFEDo4fXLqKBD21qo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ALBACETE  Resumenes por Partidos Judiciales  ALBACETE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0.3149847094801223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0.22272782404346908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886KwSJNJ4shfYlFS8h96u0A4cvuWXYrIFU4XBVMQXK+Rv4gCwayz9+pQb7w5TtZDrzYMD9avNfSs0qcwrY80w==" saltValue="bkB/b/0lkjyLRlRbVy3o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nqwFOp7GViGdAgxDbIeh/s33qJ05q+PKW9aV4+0eUv1r2jTZTrFcYsuuFpMLMXMfZsrOiXmRYs3jXg7zzc2uA==" saltValue="JJVDtNpsOLxHuRD4nI17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ALBACETE</v>
      </c>
      <c r="D3" s="400"/>
      <c r="E3" s="400"/>
      <c r="F3" s="400"/>
    </row>
    <row r="4" spans="1:14" ht="13.5" thickBot="1">
      <c r="A4" s="400"/>
      <c r="B4" s="403" t="str">
        <f>Criterios!A11 &amp;"  "&amp;Criterios!B11</f>
        <v>Resumenes por Partidos Judiciales  ALBACETE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5183</v>
      </c>
      <c r="D9" s="416">
        <f>IF(ISNUMBER(C9/Datos!BH9),C9/Datos!BH9," - ")</f>
        <v>863.83333333333337</v>
      </c>
      <c r="E9" s="415">
        <f>IF(ISNUMBER(IF(J_V="SI",Datos!J9,Datos!J9+Datos!Z9)),IF(J_V="SI",Datos!J9,Datos!J9+Datos!Z9)," - ")</f>
        <v>854</v>
      </c>
      <c r="F9" s="416">
        <f>IF(ISNUMBER(E9/B9),E9/B9," - ")</f>
        <v>142.33333333333334</v>
      </c>
      <c r="G9" s="415">
        <f>IF(ISNUMBER(IF(J_V="SI",Datos!K9,Datos!K9+Datos!AA9)),IF(J_V="SI",Datos!K9,Datos!K9+Datos!AA9)," - ")</f>
        <v>1035</v>
      </c>
      <c r="H9" s="416">
        <f>IF(ISNUMBER(G9/B9),G9/B9," - ")</f>
        <v>172.5</v>
      </c>
      <c r="I9" s="415">
        <f>IF(ISNUMBER(IF(J_V="SI",Datos!L9,Datos!L9+Datos!AB9)),IF(J_V="SI",Datos!L9,Datos!L9+Datos!AB9)," - ")</f>
        <v>5002</v>
      </c>
      <c r="J9" s="416">
        <f>IF(ISNUMBER(I9/B9),I9/B9," - ")</f>
        <v>833.66666666666663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88</v>
      </c>
      <c r="D10" s="416">
        <f>IF(ISNUMBER(C10/Datos!BH10),C10/Datos!BH10," - ")</f>
        <v>88</v>
      </c>
      <c r="E10" s="415">
        <f>IF(ISNUMBER(Datos!J10),Datos!J10," - ")</f>
        <v>42</v>
      </c>
      <c r="F10" s="416">
        <f>IF(ISNUMBER(E10/B10),E10/B10," - ")</f>
        <v>42</v>
      </c>
      <c r="G10" s="415">
        <f>IF(ISNUMBER(Datos!K10),Datos!K10," - ")</f>
        <v>25</v>
      </c>
      <c r="H10" s="416">
        <f>IF(ISNUMBER(G10/B10),G10/B10," - ")</f>
        <v>25</v>
      </c>
      <c r="I10" s="415">
        <f>IF(ISNUMBER(Datos!L10),Datos!L10," - ")</f>
        <v>105</v>
      </c>
      <c r="J10" s="416">
        <f>IF(ISNUMBER(I10/B10),I10/B10," - ")</f>
        <v>105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474</v>
      </c>
      <c r="D11" s="416">
        <f>IF(ISNUMBER(C11/Datos!BH11),C11/Datos!BH11," - ")</f>
        <v>237</v>
      </c>
      <c r="E11" s="415">
        <f>IF(ISNUMBER(IF(J_V="SI",Datos!J11,Datos!J11+Datos!Z11)),IF(J_V="SI",Datos!J11,Datos!J11+Datos!Z11)," - ")</f>
        <v>415</v>
      </c>
      <c r="F11" s="416">
        <f>IF(ISNUMBER(E11/B11),E11/B11," - ")</f>
        <v>207.5</v>
      </c>
      <c r="G11" s="415">
        <f>IF(ISNUMBER(IF(J_V="SI",Datos!K11,Datos!K11+Datos!AA11)),IF(J_V="SI",Datos!K11,Datos!K11+Datos!AA11)," - ")</f>
        <v>248</v>
      </c>
      <c r="H11" s="416">
        <f>IF(ISNUMBER(G11/B11),G11/B11," - ")</f>
        <v>124</v>
      </c>
      <c r="I11" s="415">
        <f>IF(ISNUMBER(IF(J_V="SI",Datos!L11,Datos!L11+Datos!AB11)),IF(J_V="SI",Datos!L11,Datos!L11+Datos!AB11)," - ")</f>
        <v>641</v>
      </c>
      <c r="J11" s="416">
        <f>IF(ISNUMBER(I11/B11),I11/B11," - ")</f>
        <v>320.5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5745</v>
      </c>
      <c r="D14" s="997" t="str">
        <f>IF(ISNUMBER(C14/Datos!BI14),C14/Datos!BI14," - ")</f>
        <v xml:space="preserve"> - </v>
      </c>
      <c r="E14" s="996">
        <f>SUBTOTAL(9,E8:E13)</f>
        <v>1311</v>
      </c>
      <c r="F14" s="997">
        <f>IF(ISNUMBER(E14/B14),E14/B14," - ")</f>
        <v>145.66666666666666</v>
      </c>
      <c r="G14" s="996">
        <f>SUBTOTAL(9,G8:G13)</f>
        <v>1308</v>
      </c>
      <c r="H14" s="997">
        <f>IF(ISNUMBER(G14/B14),G14/B14," - ")</f>
        <v>145.33333333333334</v>
      </c>
      <c r="I14" s="996">
        <f>SUBTOTAL(9,I8:I13)</f>
        <v>5748</v>
      </c>
      <c r="J14" s="997">
        <f>IF(ISNUMBER(I14/B14),I14/B14," - ")</f>
        <v>638.66666666666663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3316</v>
      </c>
      <c r="D16" s="416">
        <f>IF(ISNUMBER(C16/Datos!BH16),C16/Datos!BH16," - ")</f>
        <v>1105.3333333333333</v>
      </c>
      <c r="E16" s="415">
        <f>IF(ISNUMBER(IF(D_I="SI",Datos!J16,Datos!J16+Datos!AD16)),IF(D_I="SI",Datos!J16,Datos!J16+Datos!AD16)," - ")</f>
        <v>2132</v>
      </c>
      <c r="F16" s="416">
        <f>IF(ISNUMBER(E16/B16),E16/B16," - ")</f>
        <v>710.66666666666663</v>
      </c>
      <c r="G16" s="415">
        <f>IF(ISNUMBER(IF(D_I="SI",Datos!K16,Datos!K16+Datos!AE16)),IF(D_I="SI",Datos!K16,Datos!K16+Datos!AE16)," - ")</f>
        <v>1403</v>
      </c>
      <c r="H16" s="416">
        <f>IF(ISNUMBER(G16/B16),G16/B16," - ")</f>
        <v>467.66666666666669</v>
      </c>
      <c r="I16" s="415">
        <f>IF(ISNUMBER(IF(D_I="SI",Datos!L16,Datos!L16+Datos!AF16)),IF(D_I="SI",Datos!L16,Datos!L16+Datos!AF16)," - ")</f>
        <v>4060</v>
      </c>
      <c r="J16" s="416">
        <f>IF(ISNUMBER(I16/B16),I16/B16," - ")</f>
        <v>1353.3333333333333</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274</v>
      </c>
      <c r="D18" s="416">
        <f>IF(ISNUMBER(C18/Datos!BH18),C18/Datos!BH18," - ")</f>
        <v>274</v>
      </c>
      <c r="E18" s="415">
        <f>IF(ISNUMBER(IF(D_I="SI",Datos!J18,Datos!J18+Datos!AD18)),IF(D_I="SI",Datos!J18,Datos!J18+Datos!AD18)," - ")</f>
        <v>232</v>
      </c>
      <c r="F18" s="416">
        <f>IF(ISNUMBER(E18/B18),E18/B18," - ")</f>
        <v>232</v>
      </c>
      <c r="G18" s="415">
        <f>IF(ISNUMBER(IF(D_I="SI",Datos!K18,Datos!K18+Datos!AE18)),IF(D_I="SI",Datos!K18,Datos!K18+Datos!AE18)," - ")</f>
        <v>234</v>
      </c>
      <c r="H18" s="416">
        <f>IF(ISNUMBER(G18/B18),G18/B18," - ")</f>
        <v>234</v>
      </c>
      <c r="I18" s="415">
        <f>IF(ISNUMBER(IF(D_I="SI",Datos!L18,Datos!L18+Datos!AF18)),IF(D_I="SI",Datos!L18,Datos!L18+Datos!AF18)," - ")</f>
        <v>272</v>
      </c>
      <c r="J18" s="416">
        <f>IF(ISNUMBER(I18/B18),I18/B18," - ")</f>
        <v>272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3590</v>
      </c>
      <c r="D20" s="997" t="str">
        <f>IF(ISNUMBER(C20/Datos!BI20),C20/Datos!BI20," - ")</f>
        <v xml:space="preserve"> - </v>
      </c>
      <c r="E20" s="996">
        <f>SUBTOTAL(9,E15:E19)</f>
        <v>2364</v>
      </c>
      <c r="F20" s="997">
        <f>IF(ISNUMBER(E20/B20),E20/B20," - ")</f>
        <v>591</v>
      </c>
      <c r="G20" s="996">
        <f>SUBTOTAL(9,G15:G19)</f>
        <v>1637</v>
      </c>
      <c r="H20" s="997">
        <f>IF(ISNUMBER(G20/B20),G20/B20," - ")</f>
        <v>409.25</v>
      </c>
      <c r="I20" s="996">
        <f>SUBTOTAL(9,I15:I19)</f>
        <v>4332</v>
      </c>
      <c r="J20" s="997">
        <f>IF(ISNUMBER(I20/B20),I20/B20," - ")</f>
        <v>1083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12</v>
      </c>
      <c r="C21" s="941">
        <f>SUBTOTAL(9,C9:C20)</f>
        <v>9335</v>
      </c>
      <c r="D21" s="942" t="str">
        <f>IF(ISNUMBER(C21/Datos!BI21),C21/Datos!BI21," - ")</f>
        <v xml:space="preserve"> - </v>
      </c>
      <c r="E21" s="941">
        <f>SUBTOTAL(9,E9:E20)</f>
        <v>3675</v>
      </c>
      <c r="F21" s="942">
        <f>IF(ISNUMBER(E21/B21),E21/B21," - ")</f>
        <v>306.25</v>
      </c>
      <c r="G21" s="941">
        <f>SUBTOTAL(9,G9:G20)</f>
        <v>2945</v>
      </c>
      <c r="H21" s="942">
        <f>IF(ISNUMBER(G21/B21),G21/B21," - ")</f>
        <v>245.41666666666666</v>
      </c>
      <c r="I21" s="941">
        <f>SUBTOTAL(9,I9:I20)</f>
        <v>10080</v>
      </c>
      <c r="J21" s="942">
        <f>IF(ISNUMBER(I21/B21),I21/B21," - ")</f>
        <v>840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Xk182xBIi53uwzm+2QTziP4WPJVhMJa5ixP5rrqm1YZwHK6tBJ4/GVlp9H6IEVcvU8Lvh8yIugHzP6V8ZAscQ==" saltValue="diE9TNWakyJYoPP/rIzTy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ALBACETE  Resumenes por Partidos Judiciales  ALBACETE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88</v>
      </c>
      <c r="G10" s="803">
        <f>IF(ISNUMBER(Datos!I10),Datos!I10," - ")</f>
        <v>88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25</v>
      </c>
      <c r="AC10" s="802" t="str">
        <f>IF(ISNUMBER(IF(D_I="SI",DatosP!K18,DatosP!K18+DatosP!AE18)),IF(D_I="SI",DatosP!K18,DatosP!K18+DatosP!AE18)," - ")</f>
        <v xml:space="preserve"> - </v>
      </c>
      <c r="AD10" s="804"/>
      <c r="AE10" s="804"/>
      <c r="AF10" s="807">
        <f>IF(ISNUMBER(Datos!L10),Datos!L10,"-")</f>
        <v>105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8</v>
      </c>
      <c r="AN10" s="811">
        <f>IF(ISNUMBER(Datos!BW10+DatosP!BW18),Datos!BW10+DatosP!BW18," - ")</f>
        <v>0</v>
      </c>
      <c r="AO10" s="812">
        <f>IF(ISNUMBER(Datos!BX10+DatosP!BX18),Datos!BX10+DatosP!BX18," - ")</f>
        <v>0</v>
      </c>
      <c r="AP10" s="814">
        <f>IF(ISNUMBER(((Datos!L10/Datos!K10)*11)/factor_trimestre),((Datos!L10/Datos!K10)*11)/factor_trimestre," - ")</f>
        <v>12.600000000000001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88</v>
      </c>
      <c r="G14" s="1085">
        <f t="shared" si="0"/>
        <v>88</v>
      </c>
      <c r="H14" s="1085">
        <f t="shared" si="0"/>
        <v>0</v>
      </c>
      <c r="I14" s="1087">
        <f t="shared" si="0"/>
        <v>0</v>
      </c>
      <c r="J14" s="1086">
        <f t="shared" si="0"/>
        <v>0</v>
      </c>
      <c r="K14" s="1086">
        <f t="shared" si="0"/>
        <v>0</v>
      </c>
      <c r="L14" s="1088">
        <f t="shared" si="0"/>
        <v>0</v>
      </c>
      <c r="M14" s="1088">
        <f t="shared" si="0"/>
        <v>0</v>
      </c>
      <c r="N14" s="1086">
        <f t="shared" si="0"/>
        <v>18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25</v>
      </c>
      <c r="AC14" s="1086">
        <f t="shared" si="1"/>
        <v>0</v>
      </c>
      <c r="AD14" s="1086">
        <f t="shared" si="1"/>
        <v>0</v>
      </c>
      <c r="AE14" s="1086">
        <f t="shared" si="1"/>
        <v>0</v>
      </c>
      <c r="AF14" s="1086">
        <f t="shared" si="1"/>
        <v>105</v>
      </c>
      <c r="AG14" s="1086">
        <f t="shared" si="1"/>
        <v>0</v>
      </c>
      <c r="AH14" s="1086">
        <f t="shared" si="1"/>
        <v>0</v>
      </c>
      <c r="AI14" s="1086">
        <f t="shared" si="1"/>
        <v>0</v>
      </c>
      <c r="AJ14" s="1086">
        <f t="shared" si="1"/>
        <v>0</v>
      </c>
      <c r="AK14" s="1086">
        <f t="shared" si="1"/>
        <v>0</v>
      </c>
      <c r="AL14" s="1086">
        <f t="shared" si="1"/>
        <v>12</v>
      </c>
      <c r="AM14" s="1086">
        <f t="shared" si="1"/>
        <v>8</v>
      </c>
      <c r="AN14" s="1086">
        <f t="shared" si="1"/>
        <v>0</v>
      </c>
      <c r="AO14" s="1086">
        <f t="shared" si="1"/>
        <v>0</v>
      </c>
      <c r="AP14" s="1091">
        <f>IF(ISNUMBER(((Datos!L14/Datos!K14)*11)/factor_trimestre),((Datos!L14/Datos!K14)*11)/factor_trimestre," - ")</f>
        <v>14.120822622107969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-0.28409090909090912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7.9389126450824685</v>
      </c>
      <c r="AQ20" s="1091">
        <f>IF(ISNUMBER(((Datos!M20/Datos!L20)*11)/factor_trimestre),((Datos!M20/Datos!L20)*11)/factor_trimestre," - ")</f>
        <v>0.15927977839335181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6.262230919765166E-2</v>
      </c>
      <c r="AW20" s="1093">
        <f>IF(ISNUMBER((Datos!Q20-Datos!R20)/(Datos!S20-Datos!Q20+Datos!R20)),(Datos!Q20-Datos!R20)/(Datos!S20-Datos!Q20+Datos!R20)," - ")</f>
        <v>-0.13410740203193033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88</v>
      </c>
      <c r="G21" s="1098">
        <f t="shared" si="4"/>
        <v>88</v>
      </c>
      <c r="H21" s="1098">
        <f t="shared" si="4"/>
        <v>0</v>
      </c>
      <c r="I21" s="1099">
        <f t="shared" si="4"/>
        <v>0</v>
      </c>
      <c r="J21" s="1100">
        <f t="shared" si="4"/>
        <v>0</v>
      </c>
      <c r="K21" s="1100">
        <f t="shared" si="4"/>
        <v>0</v>
      </c>
      <c r="L21" s="1100">
        <f t="shared" si="4"/>
        <v>0</v>
      </c>
      <c r="M21" s="1100">
        <f t="shared" si="4"/>
        <v>0</v>
      </c>
      <c r="N21" s="1099">
        <f t="shared" si="4"/>
        <v>18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25</v>
      </c>
      <c r="AC21" s="1104">
        <f t="shared" si="5"/>
        <v>0</v>
      </c>
      <c r="AD21" s="1104">
        <f t="shared" si="5"/>
        <v>0</v>
      </c>
      <c r="AE21" s="1104">
        <f t="shared" si="5"/>
        <v>0</v>
      </c>
      <c r="AF21" s="1105">
        <f t="shared" si="5"/>
        <v>105</v>
      </c>
      <c r="AG21" s="1105">
        <f t="shared" si="5"/>
        <v>0</v>
      </c>
      <c r="AH21" s="1105">
        <f t="shared" si="5"/>
        <v>0</v>
      </c>
      <c r="AI21" s="1105">
        <f t="shared" si="5"/>
        <v>0</v>
      </c>
      <c r="AJ21" s="1106">
        <f t="shared" si="5"/>
        <v>0</v>
      </c>
      <c r="AK21" s="1106">
        <f t="shared" si="5"/>
        <v>0</v>
      </c>
      <c r="AL21" s="1098">
        <f t="shared" si="5"/>
        <v>12</v>
      </c>
      <c r="AM21" s="1098">
        <f t="shared" si="5"/>
        <v>8</v>
      </c>
      <c r="AN21" s="1098">
        <f t="shared" si="5"/>
        <v>0</v>
      </c>
      <c r="AO21" s="1098">
        <f t="shared" si="5"/>
        <v>0</v>
      </c>
      <c r="AP21" s="1098">
        <f>IF(ISNUMBER(((Datos!L21/Datos!K21)*11)/factor_trimestre),((Datos!L21/Datos!K21)*11)/factor_trimestre," - ")</f>
        <v>10.511768901569187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-0.28409090909090912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-0.11824200073556454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58.666666666666664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3.5523298860110981</v>
      </c>
      <c r="F23" s="870">
        <f>IF(ISNUMBER(STDEV(F8:F20)),STDEV(F8:F20),"-")</f>
        <v>50.806823688687061</v>
      </c>
      <c r="G23" s="871">
        <f>IF(ISNUMBER(STDEV(G8:G20)),STDEV(G8:G20),"-")</f>
        <v>50.806823688687061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14.433756729740644</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3.2211449243536303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msm6XB8AQ2eLefbKAWRozIQMgBw/khFNSxZbuSYkT8S1LL1fXztP9GJg3zjgty0SGVQsdhuhWt3N0s4Vdcdkg==" saltValue="NUBzY8wNbjAPzRq+Ouau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ALBACETE</v>
      </c>
      <c r="C3" s="427"/>
      <c r="F3" s="400"/>
      <c r="G3" s="400"/>
      <c r="H3" s="400"/>
    </row>
    <row r="4" spans="1:15" ht="13.5" thickBot="1">
      <c r="A4" s="400"/>
      <c r="B4" s="403" t="str">
        <f>Criterios!A11 &amp;"  "&amp;Criterios!B11</f>
        <v>Resumenes por Partidos Judiciales  ALBACETE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I43Slw+dZZst40JXt7CR+RSqgVB/68hI7eJpJCKSQBUwU8x0kUcSC+7a3ZHQkIdJqyyf0Dkk9iJ0ntNVlY0mw==" saltValue="si7Eh0/qOjlbhrcql6doC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ALBACETE</v>
      </c>
      <c r="C3" s="439"/>
      <c r="D3" s="440"/>
    </row>
    <row r="4" spans="1:9" ht="13.5" thickBot="1">
      <c r="B4" s="441" t="str">
        <f>Criterios!A11 &amp;"  "&amp;Criterios!B11</f>
        <v>Resumenes por Partidos Judiciales  ALBACETE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340</v>
      </c>
      <c r="E9" s="416">
        <f t="shared" ref="E9:E14" si="0">IF(ISNUMBER(D9/B9),D9/B9," - ")</f>
        <v>56.666666666666664</v>
      </c>
      <c r="F9" s="415">
        <f>IF(ISNUMBER(Datos!N9),Datos!N9," - ")</f>
        <v>326</v>
      </c>
      <c r="G9" s="416">
        <f t="shared" ref="G9:G14" si="1">IF(ISNUMBER(F9/B9),F9/B9," - ")</f>
        <v>54.333333333333336</v>
      </c>
      <c r="H9" s="415">
        <f>IF(ISNUMBER(Datos!O9),Datos!O9," - ")</f>
        <v>483</v>
      </c>
      <c r="I9" s="416">
        <f>IF(ISNUMBER(H9/B9),H9/B9," - ")</f>
        <v>80.5</v>
      </c>
    </row>
    <row r="10" spans="1:9">
      <c r="A10" s="414" t="str">
        <f>Datos!A10</f>
        <v>Jdos. Violencia contra la mujer</v>
      </c>
      <c r="B10" s="444">
        <f>Datos!AO10</f>
        <v>1</v>
      </c>
      <c r="C10" s="422">
        <f>Datos!AQ10</f>
        <v>1</v>
      </c>
      <c r="D10" s="415">
        <f>IF(ISNUMBER(Datos!M10),Datos!M10," - ")</f>
        <v>12</v>
      </c>
      <c r="E10" s="416">
        <f>IF(ISNUMBER(D10/B10),D10/B10," - ")</f>
        <v>12</v>
      </c>
      <c r="F10" s="415">
        <f>IF(ISNUMBER(Datos!N10),Datos!N10," - ")</f>
        <v>8</v>
      </c>
      <c r="G10" s="416">
        <f>IF(ISNUMBER(F10/B10),F10/B10," - ")</f>
        <v>8</v>
      </c>
      <c r="H10" s="415">
        <f>IF(ISNUMBER(Datos!O10),Datos!O10," - ")</f>
        <v>8</v>
      </c>
      <c r="I10" s="416">
        <f t="shared" ref="I10:I13" si="2">IF(ISNUMBER(H10/B10),H10/B10," - ")</f>
        <v>8</v>
      </c>
    </row>
    <row r="11" spans="1:9">
      <c r="A11" s="414" t="str">
        <f>Datos!A11</f>
        <v xml:space="preserve">Jdos. Familia                                   </v>
      </c>
      <c r="B11" s="444">
        <f>Datos!AO11</f>
        <v>2</v>
      </c>
      <c r="C11" s="422">
        <f>Datos!AQ11</f>
        <v>2</v>
      </c>
      <c r="D11" s="415">
        <f>IF(ISNUMBER(Datos!M11),Datos!M11," - ")</f>
        <v>60</v>
      </c>
      <c r="E11" s="416">
        <f t="shared" si="0"/>
        <v>30</v>
      </c>
      <c r="F11" s="415">
        <f>IF(ISNUMBER(Datos!N11),Datos!N11," - ")</f>
        <v>161</v>
      </c>
      <c r="G11" s="416">
        <f t="shared" si="1"/>
        <v>80.5</v>
      </c>
      <c r="H11" s="415">
        <f>IF(ISNUMBER(Datos!O11),Datos!O11," - ")</f>
        <v>58</v>
      </c>
      <c r="I11" s="416">
        <f t="shared" si="2"/>
        <v>29</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9</v>
      </c>
      <c r="D14" s="996">
        <f>SUBTOTAL(9,D9:D13)</f>
        <v>412</v>
      </c>
      <c r="E14" s="997">
        <f t="shared" si="0"/>
        <v>45.777777777777779</v>
      </c>
      <c r="F14" s="996">
        <f>SUBTOTAL(9,F9:F13)</f>
        <v>495</v>
      </c>
      <c r="G14" s="997">
        <f t="shared" si="1"/>
        <v>55</v>
      </c>
      <c r="H14" s="996">
        <f>SUBTOTAL(9,H9:H13)</f>
        <v>549</v>
      </c>
      <c r="I14" s="997">
        <f>IF(ISNUMBER(H14/B14),H14/B14," - ")</f>
        <v>61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225</v>
      </c>
      <c r="E16" s="416">
        <f t="shared" ref="E16:E20" si="3">IF(ISNUMBER(D16/B16),D16/B16," - ")</f>
        <v>75</v>
      </c>
      <c r="F16" s="415">
        <f>IF(ISNUMBER(Datos!N16),Datos!N16," - ")</f>
        <v>699</v>
      </c>
      <c r="G16" s="416">
        <f t="shared" ref="G16:G20" si="4">IF(ISNUMBER(F16/B16),F16/B16," - ")</f>
        <v>233</v>
      </c>
      <c r="H16" s="415">
        <f>IF(ISNUMBER(Datos!O16),Datos!O16," - ")</f>
        <v>50</v>
      </c>
      <c r="I16" s="416">
        <f t="shared" ref="I16:I19" si="5">IF(ISNUMBER(H16/B16),H16/B16," - ")</f>
        <v>16.666666666666668</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5</v>
      </c>
      <c r="E18" s="416">
        <f>IF(ISNUMBER(D18/B18),D18/B18," - ")</f>
        <v>5</v>
      </c>
      <c r="F18" s="415">
        <f>IF(ISNUMBER(Datos!N18),Datos!N18," - ")</f>
        <v>122</v>
      </c>
      <c r="G18" s="416">
        <f>IF(ISNUMBER(F18/B18),F18/B18," - ")</f>
        <v>122</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4</v>
      </c>
      <c r="D20" s="996">
        <f>SUBTOTAL(9,D16:D19)</f>
        <v>230</v>
      </c>
      <c r="E20" s="997">
        <f t="shared" si="3"/>
        <v>57.5</v>
      </c>
      <c r="F20" s="996">
        <f>SUBTOTAL(9,F16:F19)</f>
        <v>821</v>
      </c>
      <c r="G20" s="997">
        <f t="shared" si="4"/>
        <v>205.25</v>
      </c>
      <c r="H20" s="996">
        <f>SUBTOTAL(9,H16:H19)</f>
        <v>51</v>
      </c>
      <c r="I20" s="997">
        <f>IF(ISNUMBER(H20/B20),H20/B20," - ")</f>
        <v>12.75</v>
      </c>
    </row>
    <row r="21" spans="1:9" ht="14.25" thickTop="1" thickBot="1">
      <c r="A21" s="940" t="str">
        <f>Datos!A21</f>
        <v>TOTAL JURISDICCIONES</v>
      </c>
      <c r="B21" s="941">
        <f>Datos!AP21</f>
        <v>12</v>
      </c>
      <c r="C21" s="941">
        <f>Datos!AR21</f>
        <v>12</v>
      </c>
      <c r="D21" s="941">
        <f>SUBTOTAL(9,D8:D20)</f>
        <v>642</v>
      </c>
      <c r="E21" s="942">
        <f>IF(ISNUMBER(D21/B21),D21/B21," - ")</f>
        <v>53.5</v>
      </c>
      <c r="F21" s="941">
        <f>SUBTOTAL(9,F8:F20)</f>
        <v>1316</v>
      </c>
      <c r="G21" s="942">
        <f>IF(ISNUMBER(F21/B21),F21/B21," - ")</f>
        <v>109.66666666666667</v>
      </c>
      <c r="H21" s="941">
        <f>SUBTOTAL(9,H8:H20)</f>
        <v>600</v>
      </c>
      <c r="I21" s="942">
        <f>IF(ISNUMBER(H21/B21),H21/B21," - ")</f>
        <v>50</v>
      </c>
    </row>
    <row r="24" spans="1:9">
      <c r="A24" s="403" t="str">
        <f>Criterios!A4</f>
        <v>Fecha Informe: 06 jun. 2023</v>
      </c>
    </row>
    <row r="29" spans="1:9">
      <c r="A29" s="426"/>
    </row>
  </sheetData>
  <sheetProtection algorithmName="SHA-512" hashValue="5rPUcn2iUJl+fbrJDrX0IoWTNCgiUd5+n9Va8R53PiRe1PwbYhCf7XJRqCkfjjoJRhE/XmdOf04S2hER5lwuyg==" saltValue="q4a/HZl+/bhxKN2CpX8E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ALBACETE</v>
      </c>
    </row>
    <row r="4" spans="1:4" ht="13.5" thickBot="1">
      <c r="B4" s="403" t="str">
        <f>Criterios!A11 &amp;"  "&amp;Criterios!B11</f>
        <v>Resumenes por Partidos Judiciales  ALBACETE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272</v>
      </c>
      <c r="C9" s="451">
        <f>IF(ISNUMBER(Datos!Q9),Datos!Q9," - ")</f>
        <v>1585</v>
      </c>
      <c r="D9" s="420">
        <f>IF(ISNUMBER(Datos!R9),Datos!R9," - ")</f>
        <v>8494</v>
      </c>
    </row>
    <row r="10" spans="1:4">
      <c r="A10" s="414" t="str">
        <f>Datos!A10</f>
        <v>Jdos. Violencia contra la mujer</v>
      </c>
      <c r="B10" s="450">
        <f>IF(ISNUMBER(Datos!P10),Datos!P10," - ")</f>
        <v>18</v>
      </c>
      <c r="C10" s="451">
        <f>IF(ISNUMBER(Datos!Q10),Datos!Q10," - ")</f>
        <v>13</v>
      </c>
      <c r="D10" s="420">
        <f>IF(ISNUMBER(Datos!R10),Datos!R10," - ")</f>
        <v>74</v>
      </c>
    </row>
    <row r="11" spans="1:4">
      <c r="A11" s="414" t="str">
        <f>Datos!A11</f>
        <v xml:space="preserve">Jdos. Familia                                   </v>
      </c>
      <c r="B11" s="450">
        <f>IF(ISNUMBER(Datos!P11),Datos!P11," - ")</f>
        <v>7</v>
      </c>
      <c r="C11" s="451">
        <f>IF(ISNUMBER(Datos!Q11),Datos!Q11," - ")</f>
        <v>17</v>
      </c>
      <c r="D11" s="420">
        <f>IF(ISNUMBER(Datos!R11),Datos!R11," - ")</f>
        <v>479</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297</v>
      </c>
      <c r="C14" s="1000">
        <f>SUBTOTAL(9,C9:C13)</f>
        <v>1615</v>
      </c>
      <c r="D14" s="998">
        <f>SUBTOTAL(9,D9:D13)</f>
        <v>9047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109</v>
      </c>
      <c r="C16" s="451">
        <f>IF(ISNUMBER(Datos!Q16),Datos!Q16," - ")</f>
        <v>80</v>
      </c>
      <c r="D16" s="420">
        <f>IF(ISNUMBER(Datos!R16),Datos!R16," - ")</f>
        <v>540</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4</v>
      </c>
      <c r="C18" s="451">
        <f>IF(ISNUMBER(Datos!Q18),Datos!Q18," - ")</f>
        <v>1</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113</v>
      </c>
      <c r="C20" s="1000">
        <f>SUBTOTAL(9,C16:C19)</f>
        <v>81</v>
      </c>
      <c r="D20" s="998">
        <f>SUBTOTAL(9,D16:D19)</f>
        <v>543</v>
      </c>
    </row>
    <row r="21" spans="1:4" ht="16.5" customHeight="1" thickTop="1" thickBot="1">
      <c r="A21" s="940" t="str">
        <f>Datos!A21</f>
        <v>TOTAL JURISDICCIONES</v>
      </c>
      <c r="B21" s="945">
        <f>SUBTOTAL(9,B8:B20)</f>
        <v>410</v>
      </c>
      <c r="C21" s="946">
        <f>SUBTOTAL(9,C8:C20)</f>
        <v>1696</v>
      </c>
      <c r="D21" s="947">
        <f>SUBTOTAL(9,D8:D20)</f>
        <v>9590</v>
      </c>
    </row>
    <row r="22" spans="1:4" ht="7.5" customHeight="1"/>
    <row r="23" spans="1:4" ht="6" customHeight="1"/>
    <row r="24" spans="1:4">
      <c r="A24" s="403" t="str">
        <f>Criterios!A4</f>
        <v>Fecha Informe: 06 jun. 2023</v>
      </c>
    </row>
    <row r="29" spans="1:4">
      <c r="A29" s="426"/>
    </row>
  </sheetData>
  <sheetProtection algorithmName="SHA-512" hashValue="HRN5aoLzRSR4B7zBxGKvmPmNOnGSxIzK+ipI+i/yFgScIPHrKDvu2KwdzaBZDOC0r+Qejqrf0wYVyZ/9gWkFEQ==" saltValue="KqQuNL7ba/WBErgdHeXG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ALBACETE</v>
      </c>
    </row>
    <row r="4" spans="1:11" ht="10.5" customHeight="1" thickBot="1">
      <c r="B4" s="403" t="str">
        <f>Criterios!A11 &amp;"  "&amp;Criterios!B11</f>
        <v>Resumenes por Partidos Judiciales  ALBACETE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2.8373015873015873E-2</v>
      </c>
      <c r="C9" s="473">
        <f>IF(ISNUMBER(
   IF(J_V="SI",(Datos!J9-Datos!T9)/Datos!T9,(Datos!J9+Datos!Z9-(Datos!T9+Datos!AH9))/(Datos!T9+Datos!AH9))
     ),IF(J_V="SI",(Datos!J9-Datos!T9)/Datos!T9,(Datos!J9+Datos!Z9-(Datos!T9+Datos!AH9))/(Datos!T9+Datos!AH9))," - ")</f>
        <v>-0.63874788494077839</v>
      </c>
      <c r="D9" s="473">
        <f>IF(ISNUMBER(
   IF(J_V="SI",(Datos!K9-Datos!U9)/Datos!U9,(Datos!K9+Datos!AA9-(Datos!U9+Datos!AI9))/(Datos!U9+Datos!AI9))
     ),IF(J_V="SI",(Datos!K9-Datos!U9)/Datos!U9,(Datos!K9+Datos!AA9-(Datos!U9+Datos!AI9))/(Datos!U9+Datos!AI9))," - ")</f>
        <v>-0.53082502266545784</v>
      </c>
      <c r="E9" s="473">
        <f>IF(ISNUMBER(
   IF(J_V="SI",(Datos!L9-Datos!V9)/Datos!V9,(Datos!L9+Datos!AB9-(Datos!V9+Datos!AJ9))/(Datos!V9+Datos!AJ9))
     ),IF(J_V="SI",(Datos!L9-Datos!V9)/Datos!V9,(Datos!L9+Datos!AB9-(Datos!V9+Datos!AJ9))/(Datos!V9+Datos!AJ9))," - ")</f>
        <v>-6.1362356914993435E-2</v>
      </c>
      <c r="F9" s="473">
        <f>IF(ISNUMBER((Datos!M9-Datos!W9)/Datos!W9),(Datos!M9-Datos!W9)/Datos!W9," - ")</f>
        <v>-0.47772657450076805</v>
      </c>
      <c r="G9" s="474">
        <f>IF(ISNUMBER((Datos!N9-Datos!X9)/Datos!X9),(Datos!N9-Datos!X9)/Datos!X9," - ")</f>
        <v>-0.51415797317436662</v>
      </c>
      <c r="H9" s="472">
        <f>IF(ISNUMBER(((NºAsuntos!G9/NºAsuntos!E9)-Datos!BD9)/Datos!BD9),((NºAsuntos!G9/NºAsuntos!E9)-Datos!BD9)/Datos!BD9," - ")</f>
        <v>0.29874665857009075</v>
      </c>
      <c r="I9" s="473">
        <f>IF(ISNUMBER(((NºAsuntos!I9/NºAsuntos!G9)-Datos!BE9)/Datos!BE9),((NºAsuntos!I9/NºAsuntos!G9)-Datos!BE9)/Datos!BE9," - ")</f>
        <v>1.0006131793676567</v>
      </c>
      <c r="J9" s="478">
        <f>IF(ISNUMBER((('Resol  Asuntos'!D9/NºAsuntos!G9)-Datos!BF9)/Datos!BF9),(('Resol  Asuntos'!D9/NºAsuntos!G9)-Datos!BF9)/Datos!BF9," - ")</f>
        <v>7.9994528319546288E-2</v>
      </c>
      <c r="K9" s="479">
        <f>IF(ISNUMBER((((NºAsuntos!C9+NºAsuntos!E9)/NºAsuntos!G9)-Datos!BG9)/Datos!BG9),(((NºAsuntos!C9+NºAsuntos!E9)/NºAsuntos!G9)-Datos!BG9)/Datos!BG9," - ")</f>
        <v>0.73788055549030818</v>
      </c>
    </row>
    <row r="10" spans="1:11">
      <c r="A10" s="414" t="str">
        <f>Datos!A10</f>
        <v>Jdos. Violencia contra la mujer</v>
      </c>
      <c r="B10" s="472">
        <f>IF(ISNUMBER((Datos!I10-Datos!S10)/Datos!S10),(Datos!I10-Datos!S10)/Datos!S10," - ")</f>
        <v>0.1</v>
      </c>
      <c r="C10" s="473">
        <f>IF(ISNUMBER((Datos!J10-Datos!T10)/Datos!T10),(Datos!J10-Datos!T10)/Datos!T10," - ")</f>
        <v>-0.125</v>
      </c>
      <c r="D10" s="473">
        <f>IF(ISNUMBER((Datos!K10-Datos!U10)/Datos!U10),(Datos!K10-Datos!U10)/Datos!U10," - ")</f>
        <v>-0.26470588235294118</v>
      </c>
      <c r="E10" s="473">
        <f>IF(ISNUMBER((Datos!L10-Datos!V10)/Datos!V10),(Datos!L10-Datos!V10)/Datos!V10," - ")</f>
        <v>0.11702127659574468</v>
      </c>
      <c r="F10" s="473">
        <f>IF(ISNUMBER((Datos!M10-Datos!W10)/Datos!W10),(Datos!M10-Datos!W10)/Datos!W10," - ")</f>
        <v>0</v>
      </c>
      <c r="G10" s="474">
        <f>IF(ISNUMBER((Datos!N10-Datos!X10)/Datos!X10),(Datos!N10-Datos!X10)/Datos!X10," - ")</f>
        <v>-0.68</v>
      </c>
      <c r="H10" s="472">
        <f>IF(ISNUMBER(((NºAsuntos!G10/NºAsuntos!E10)-Datos!BD10)/Datos!BD10),((NºAsuntos!G10/NºAsuntos!E10)-Datos!BD10)/Datos!BD10," - ")</f>
        <v>-0.15966386554621853</v>
      </c>
      <c r="I10" s="473">
        <f>IF(ISNUMBER(((NºAsuntos!I10/NºAsuntos!G10)-Datos!BE10)/Datos!BE10),((NºAsuntos!I10/NºAsuntos!G10)-Datos!BE10)/Datos!BE10," - ")</f>
        <v>0.51914893617021285</v>
      </c>
      <c r="J10" s="478">
        <f>IF(ISNUMBER((('Resol  Asuntos'!D10/NºAsuntos!G10)-Datos!BF10)/Datos!BF10),(('Resol  Asuntos'!D10/NºAsuntos!G10)-Datos!BF10)/Datos!BF10," - ")</f>
        <v>0.35999999999999988</v>
      </c>
      <c r="K10" s="479">
        <f>IF(ISNUMBER((((NºAsuntos!C10+NºAsuntos!E10)/NºAsuntos!G10)-Datos!BG10)/Datos!BG10),(((NºAsuntos!C10+NºAsuntos!E10)/NºAsuntos!G10)-Datos!BG10)/Datos!BG10," - ")</f>
        <v>0.38125000000000009</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3.2679738562091505E-2</v>
      </c>
      <c r="C11" s="473">
        <f>IF(ISNUMBER(
   IF(J_V="SI",(Datos!J11-Datos!T11)/Datos!T11,(Datos!J11+Datos!Z11-(Datos!T11+Datos!AH11))/(Datos!T11+Datos!AH11))
     ),IF(J_V="SI",(Datos!J11-Datos!T11)/Datos!T11,(Datos!J11+Datos!Z11-(Datos!T11+Datos!AH11))/(Datos!T11+Datos!AH11))," - ")</f>
        <v>-0.30833333333333335</v>
      </c>
      <c r="D11" s="473">
        <f>IF(ISNUMBER(
   IF(J_V="SI",(Datos!K11-Datos!U11)/Datos!U11,(Datos!K11+Datos!AA11-(Datos!U11+Datos!AI11))/(Datos!U11+Datos!AI11))
     ),IF(J_V="SI",(Datos!K11-Datos!U11)/Datos!U11,(Datos!K11+Datos!AA11-(Datos!U11+Datos!AI11))/(Datos!U11+Datos!AI11))," - ")</f>
        <v>-0.54411764705882348</v>
      </c>
      <c r="E11" s="473">
        <f>IF(ISNUMBER(
   IF(J_V="SI",(Datos!L11-Datos!V11)/Datos!V11,(Datos!L11+Datos!AB11-(Datos!V11+Datos!AJ11))/(Datos!V11+Datos!AJ11))
     ),IF(J_V="SI",(Datos!L11-Datos!V11)/Datos!V11,(Datos!L11+Datos!AB11-(Datos!V11+Datos!AJ11))/(Datos!V11+Datos!AJ11))," - ")</f>
        <v>0.24466019417475729</v>
      </c>
      <c r="F11" s="473">
        <f>IF(ISNUMBER((Datos!M11-Datos!W11)/Datos!W11),(Datos!M11-Datos!W11)/Datos!W11," - ")</f>
        <v>-0.68586387434554974</v>
      </c>
      <c r="G11" s="474">
        <f>IF(ISNUMBER((Datos!N11-Datos!X11)/Datos!X11),(Datos!N11-Datos!X11)/Datos!X11," - ")</f>
        <v>-0.32635983263598328</v>
      </c>
      <c r="H11" s="472">
        <f>IF(ISNUMBER(((NºAsuntos!G11/NºAsuntos!E11)-Datos!BD11)/Datos!BD11),((NºAsuntos!G11/NºAsuntos!E11)-Datos!BD11)/Datos!BD11," - ")</f>
        <v>-0.34089298369950383</v>
      </c>
      <c r="I11" s="473">
        <f>IF(ISNUMBER(((NºAsuntos!I11/NºAsuntos!G11)-Datos!BE11)/Datos!BE11),((NºAsuntos!I11/NºAsuntos!G11)-Datos!BE11)/Datos!BE11," - ")</f>
        <v>1.7302223614155965</v>
      </c>
      <c r="J11" s="478">
        <f>IF(ISNUMBER((('Resol  Asuntos'!D11/NºAsuntos!G11)-Datos!BF11)/Datos!BF11),(('Resol  Asuntos'!D11/NºAsuntos!G11)-Datos!BF11)/Datos!BF11," - ")</f>
        <v>-0.44931839654474287</v>
      </c>
      <c r="K11" s="479">
        <f>IF(ISNUMBER((((NºAsuntos!C11+NºAsuntos!E11)/NºAsuntos!G11)-Datos!BG11)/Datos!BG11),(((NºAsuntos!C11+NºAsuntos!E11)/NºAsuntos!G11)-Datos!BG11)/Datos!BG11," - ")</f>
        <v>0.84142069511712192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2.9754436278903028E-2</v>
      </c>
      <c r="C14" s="1002">
        <f>IF(ISNUMBER(
   IF(J_V="SI",(Datos!J14-Datos!T14)/Datos!T14,(Datos!J14+Datos!Z14-(Datos!T14+Datos!AH14))/(Datos!T14+Datos!AH14))
     ),IF(J_V="SI",(Datos!J14-Datos!T14)/Datos!T14,(Datos!J14+Datos!Z14-(Datos!T14+Datos!AH14))/(Datos!T14+Datos!AH14))," - ")</f>
        <v>-0.56474103585657376</v>
      </c>
      <c r="D14" s="1002">
        <f>IF(ISNUMBER(
   IF(J_V="SI",(Datos!K14-Datos!U14)/Datos!U14,(Datos!K14+Datos!AA14-(Datos!U14+Datos!AI14))/(Datos!U14+Datos!AI14))
     ),IF(J_V="SI",(Datos!K14-Datos!U14)/Datos!U14,(Datos!K14+Datos!AA14-(Datos!U14+Datos!AI14))/(Datos!U14+Datos!AI14))," - ")</f>
        <v>-0.53017241379310343</v>
      </c>
      <c r="E14" s="1002">
        <f>IF(ISNUMBER(
   IF(J_V="SI",(Datos!L14-Datos!V14)/Datos!V14,(Datos!L14+Datos!AB14-(Datos!V14+Datos!AJ14))/(Datos!V14+Datos!AJ14))
     ),IF(J_V="SI",(Datos!L14-Datos!V14)/Datos!V14,(Datos!L14+Datos!AB14-(Datos!V14+Datos!AJ14))/(Datos!V14+Datos!AJ14))," - ")</f>
        <v>-3.1997305490063993E-2</v>
      </c>
      <c r="F14" s="1003">
        <f>IF(ISNUMBER((Datos!M14-Datos!W14)/Datos!W14),(Datos!M14-Datos!W14)/Datos!W14," - ")</f>
        <v>-0.51756440281030447</v>
      </c>
      <c r="G14" s="1004">
        <f>IF(ISNUMBER((Datos!N14-Datos!X14)/Datos!X14),(Datos!N14-Datos!X14)/Datos!X14," - ")</f>
        <v>-0.47058823529411764</v>
      </c>
      <c r="H14" s="1004">
        <f>IF(ISNUMBER(((NºAsuntos!G14/NºAsuntos!E14)-Datos!BD14)/Datos!BD14),((NºAsuntos!G14/NºAsuntos!E14)-Datos!BD14)/Datos!BD14," - ")</f>
        <v>7.9420815907835618E-2</v>
      </c>
      <c r="I14" s="1004">
        <f>IF(ISNUMBER(((NºAsuntos!I14/NºAsuntos!G14)-Datos!BE14)/Datos!BE14),((NºAsuntos!I14/NºAsuntos!G14)-Datos!BE14)/Datos!BE14," - ")</f>
        <v>1.0603360103330748</v>
      </c>
      <c r="J14" s="1004">
        <f>IF(ISNUMBER((('Resol  Asuntos'!D14/NºAsuntos!G14)-Datos!BF14)/Datos!BF14),(('Resol  Asuntos'!D14/NºAsuntos!G14)-Datos!BF14)/Datos!BF14," - ")</f>
        <v>-4.8896495452645856E-2</v>
      </c>
      <c r="K14" s="1004">
        <f>IF(ISNUMBER((((NºAsuntos!C14+NºAsuntos!E14)/NºAsuntos!G14)-Datos!BG14)/Datos!BG14),(((NºAsuntos!C14+NºAsuntos!E14)/NºAsuntos!G14)-Datos!BG14)/Datos!BG14," - ")</f>
        <v>0.74814052256521901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0.20144927536231885</v>
      </c>
      <c r="C16" s="473">
        <f>IF(ISNUMBER(
   IF(D_I="SI",(Datos!J16-Datos!T16)/Datos!T16,(Datos!J16+Datos!AD16-(Datos!T16+Datos!AL16))/(Datos!T16+Datos!AL16))
     ),IF(D_I="SI",(Datos!J16-Datos!T16)/Datos!T16,(Datos!J16+Datos!AD16-(Datos!T16+Datos!AL16))/(Datos!T16+Datos!AL16))," - ")</f>
        <v>9.7837281153450056E-2</v>
      </c>
      <c r="D16" s="473">
        <f>IF(ISNUMBER(
   IF(D_I="SI",(Datos!K16-Datos!U16)/Datos!U16,(Datos!K16+Datos!AE16-(Datos!U16+Datos!AM16))/(Datos!U16+Datos!AM16))
     ),IF(D_I="SI",(Datos!K16-Datos!U16)/Datos!U16,(Datos!K16+Datos!AE16-(Datos!U16+Datos!AM16))/(Datos!U16+Datos!AM16))," - ")</f>
        <v>-0.32287644787644787</v>
      </c>
      <c r="E16" s="473">
        <f>IF(ISNUMBER(
   IF(D_I="SI",(Datos!L16-Datos!V16)/Datos!V16,(Datos!L16+Datos!AF16-(Datos!V16+Datos!AN16))/(Datos!V16+Datos!AN16))
     ),IF(D_I="SI",(Datos!L16-Datos!V16)/Datos!V16,(Datos!L16+Datos!AF16-(Datos!V16+Datos!AN16))/(Datos!V16+Datos!AN16))," - ")</f>
        <v>0.54021244309559935</v>
      </c>
      <c r="F16" s="473">
        <f>IF(ISNUMBER((Datos!M16-Datos!W16)/Datos!W16),(Datos!M16-Datos!W16)/Datos!W16," - ")</f>
        <v>-0.38692098092643051</v>
      </c>
      <c r="G16" s="474">
        <f>IF(ISNUMBER((Datos!N16-Datos!X16)/Datos!X16),(Datos!N16-Datos!X16)/Datos!X16," - ")</f>
        <v>-0.15681544028950542</v>
      </c>
      <c r="H16" s="472">
        <f>IF(ISNUMBER(((NºAsuntos!G16/NºAsuntos!E16)-Datos!BD16)/Datos!BD16),((NºAsuntos!G16/NºAsuntos!E16)-Datos!BD16)/Datos!BD16," - ")</f>
        <v>-0.38322047925706465</v>
      </c>
      <c r="I16" s="473">
        <f>IF(ISNUMBER(((NºAsuntos!I16/NºAsuntos!G16)-Datos!BE16)/Datos!BE16),((NºAsuntos!I16/NºAsuntos!G16)-Datos!BE16)/Datos!BE16," - ")</f>
        <v>1.2746401868097521</v>
      </c>
      <c r="J16" s="478">
        <f>IF(ISNUMBER((('Resol  Asuntos'!D16/NºAsuntos!G16)-Datos!BF16)/Datos!BF16),(('Resol  Asuntos'!D16/NºAsuntos!G16)-Datos!BF16)/Datos!BF16," - ")</f>
        <v>-9.4583230562768461E-2</v>
      </c>
      <c r="K16" s="479">
        <f>IF(ISNUMBER((((NºAsuntos!C16+NºAsuntos!E16)/NºAsuntos!G16)-Datos!BG16)/Datos!BG16),(((NºAsuntos!C16+NºAsuntos!E16)/NºAsuntos!G16)-Datos!BG16)/Datos!BG16," - ")</f>
        <v>0.71114398173931825</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0.22869955156950672</v>
      </c>
      <c r="C18" s="473">
        <f>IF(ISNUMBER(
   IF(D_I="SI",(Datos!J18-Datos!T18)/Datos!T18,(Datos!J18+Datos!AD18-(Datos!T18+Datos!AL18))/(Datos!T18+Datos!AL18))
     ),IF(D_I="SI",(Datos!J18-Datos!T18)/Datos!T18,(Datos!J18+Datos!AD18-(Datos!T18+Datos!AL18))/(Datos!T18+Datos!AL18))," - ")</f>
        <v>2.6548672566371681E-2</v>
      </c>
      <c r="D18" s="473">
        <f>IF(ISNUMBER(
   IF(D_I="SI",(Datos!K18-Datos!U18)/Datos!U18,(Datos!K18+Datos!AE18-(Datos!U18+Datos!AM18))/(Datos!U18+Datos!AM18))
     ),IF(D_I="SI",(Datos!K18-Datos!U18)/Datos!U18,(Datos!K18+Datos!AE18-(Datos!U18+Datos!AM18))/(Datos!U18+Datos!AM18))," - ")</f>
        <v>6.8493150684931503E-2</v>
      </c>
      <c r="E18" s="473">
        <f>IF(ISNUMBER(
   IF(D_I="SI",(Datos!L18-Datos!V18)/Datos!V18,(Datos!L18+Datos!AF18-(Datos!V18+Datos!AN18))/(Datos!V18+Datos!AN18))
     ),IF(D_I="SI",(Datos!L18-Datos!V18)/Datos!V18,(Datos!L18+Datos!AF18-(Datos!V18+Datos!AN18))/(Datos!V18+Datos!AN18))," - ")</f>
        <v>0.1774891774891775</v>
      </c>
      <c r="F18" s="473">
        <f>IF(ISNUMBER((Datos!M18-Datos!W18)/Datos!W18),(Datos!M18-Datos!W18)/Datos!W18," - ")</f>
        <v>-0.16666666666666666</v>
      </c>
      <c r="G18" s="474">
        <f>IF(ISNUMBER((Datos!N18-Datos!X18)/Datos!X18),(Datos!N18-Datos!X18)/Datos!X18," - ")</f>
        <v>5.1724137931034482E-2</v>
      </c>
      <c r="H18" s="472">
        <f>IF(ISNUMBER(((NºAsuntos!G18/NºAsuntos!E18)-Datos!BD18)/Datos!BD18),((NºAsuntos!G18/NºAsuntos!E18)-Datos!BD18)/Datos!BD18," - ")</f>
        <v>4.0859707132735013E-2</v>
      </c>
      <c r="I18" s="473">
        <f>IF(ISNUMBER(((NºAsuntos!I18/NºAsuntos!G18)-Datos!BE18)/Datos!BE18),((NºAsuntos!I18/NºAsuntos!G18)-Datos!BE18)/Datos!BE18," - ")</f>
        <v>0.1020091020091021</v>
      </c>
      <c r="J18" s="478">
        <f>IF(ISNUMBER((('Resol  Asuntos'!D18/NºAsuntos!G18)-Datos!BF18)/Datos!BF18),(('Resol  Asuntos'!D18/NºAsuntos!G18)-Datos!BF18)/Datos!BF18," - ")</f>
        <v>-0.22008547008547003</v>
      </c>
      <c r="K18" s="479">
        <f>IF(ISNUMBER((((NºAsuntos!C18+NºAsuntos!E18)/NºAsuntos!G18)-Datos!BG18)/Datos!BG18),(((NºAsuntos!C18+NºAsuntos!E18)/NºAsuntos!G18)-Datos!BG18)/Datos!BG18," - ")</f>
        <v>5.4708468962366419E-2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0.2034864230640295</v>
      </c>
      <c r="C20" s="1002">
        <f>IF(ISNUMBER(
   IF(Criterios!B14="SI",(Datos!J20-Datos!T20)/Datos!T20,(Datos!J20+Datos!AD20-(Datos!T20+Datos!AL20))/(Datos!T20+Datos!AL20))
     ),IF(Criterios!B14="SI",(Datos!J20-Datos!T20)/Datos!T20,(Datos!J20+Datos!AD20-(Datos!T20+Datos!AL20))/(Datos!T20+Datos!AL20))," - ")</f>
        <v>9.0405904059040587E-2</v>
      </c>
      <c r="D20" s="1002">
        <f>IF(ISNUMBER(
   IF(Criterios!B14="SI",(Datos!K20-Datos!U20)/Datos!U20,(Datos!K20+Datos!AE20-(Datos!U20+Datos!AM20))/(Datos!U20+Datos!AM20))
     ),IF(Criterios!B14="SI",(Datos!K20-Datos!U20)/Datos!U20,(Datos!K20+Datos!AE20-(Datos!U20+Datos!AM20))/(Datos!U20+Datos!AM20))," - ")</f>
        <v>-0.28546486250545611</v>
      </c>
      <c r="E20" s="1002">
        <f>IF(ISNUMBER(
   IF(Criterios!B14="SI",(Datos!L20-Datos!V20)/Datos!V20,(Datos!L20+Datos!AF20-(Datos!V20+Datos!AN20))/(Datos!V20+Datos!AN20))
     ),IF(Criterios!B14="SI",(Datos!L20-Datos!V20)/Datos!V20,(Datos!L20+Datos!AF20-(Datos!V20+Datos!AN20))/(Datos!V20+Datos!AN20))," - ")</f>
        <v>0.51098709452389257</v>
      </c>
      <c r="F20" s="1003">
        <f>IF(ISNUMBER((Datos!M20-Datos!W20)/Datos!W20),(Datos!M20-Datos!W20)/Datos!W20," - ")</f>
        <v>-0.38337801608579086</v>
      </c>
      <c r="G20" s="1004">
        <f>IF(ISNUMBER((Datos!N20-Datos!X20)/Datos!X20),(Datos!N20-Datos!X20)/Datos!X20," - ")</f>
        <v>-0.1312169312169312</v>
      </c>
      <c r="H20" s="1004">
        <f>IF(ISNUMBER(((NºAsuntos!G20/NºAsuntos!E20)-Datos!BD20)/Datos!BD20),((NºAsuntos!G20/NºAsuntos!E20)-Datos!BD20)/Datos!BD20," - ")</f>
        <v>-0.34470720047031678</v>
      </c>
      <c r="I20" s="1004">
        <f>IF(ISNUMBER(((NºAsuntos!I20/NºAsuntos!G20)-Datos!BE20)/Datos!BE20),((NºAsuntos!I20/NºAsuntos!G20)-Datos!BE20)/Datos!BE20," - ")</f>
        <v>1.1146435146940976</v>
      </c>
      <c r="J20" s="1004">
        <f>IF(ISNUMBER((('Resol  Asuntos'!D20/NºAsuntos!G20)-Datos!BF20)/Datos!BF20),(('Resol  Asuntos'!D20/NºAsuntos!G20)-Datos!BF20)/Datos!BF20," - ")</f>
        <v>-0.13703056496795779</v>
      </c>
      <c r="K20" s="1004">
        <f>IF(ISNUMBER((((NºAsuntos!C20+NºAsuntos!E20)/NºAsuntos!G20)-Datos!BG20)/Datos!BG20),(((NºAsuntos!C20+NºAsuntos!E20)/NºAsuntos!G20)-Datos!BG20)/Datos!BG20," - ")</f>
        <v>0.6176840006038764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9.0282644241999527E-2</v>
      </c>
      <c r="C21" s="949">
        <f>IF(ISNUMBER(
   IF(J_V="SI",(Datos!J21-Datos!T21)/Datos!T21,(Datos!J21+Datos!Z21-(Datos!T21+Datos!AH21))/(Datos!T21+Datos!AH21))
     ),IF(J_V="SI",(Datos!J21-Datos!T21)/Datos!T21,(Datos!J21+Datos!Z21-(Datos!T21+Datos!AH21))/(Datos!T21+Datos!AH21))," - ")</f>
        <v>-0.29054054054054052</v>
      </c>
      <c r="D21" s="949">
        <f>IF(ISNUMBER(
   IF(J_V="SI",(Datos!K21-Datos!U21)/Datos!U21,(Datos!K21+Datos!AA21-(Datos!U21+Datos!AI21))/(Datos!U21+Datos!AI21))
     ),IF(J_V="SI",(Datos!K21-Datos!U21)/Datos!U21,(Datos!K21+Datos!AA21-(Datos!U21+Datos!AI21))/(Datos!U21+Datos!AI21))," - ")</f>
        <v>-0.41970443349753694</v>
      </c>
      <c r="E21" s="949">
        <f>IF(ISNUMBER(
   IF(J_V="SI",(Datos!L21-Datos!V21)/Datos!V21,(Datos!L21+Datos!AB21-(Datos!V21+Datos!AJ21))/(Datos!V21+Datos!AJ21))
     ),IF(J_V="SI",(Datos!L21-Datos!V21)/Datos!V21,(Datos!L21+Datos!AB21-(Datos!V21+Datos!AJ21))/(Datos!V21+Datos!AJ21))," - ")</f>
        <v>0.14480408858603067</v>
      </c>
      <c r="F21" s="950">
        <f>IF(ISNUMBER((Datos!M21-Datos!W21)/Datos!W21),(Datos!M21-Datos!W21)/Datos!W21," - ")</f>
        <v>-0.47677261613691929</v>
      </c>
      <c r="G21" s="951">
        <f>IF(ISNUMBER((Datos!N21-Datos!X21)/Datos!X21),(Datos!N21-Datos!X21)/Datos!X21," - ")</f>
        <v>-0.3</v>
      </c>
      <c r="H21" s="952">
        <f>IF(ISNUMBER((Tasas!B21-Datos!BD21)/Datos!BD21),(Tasas!B21-Datos!BD21)/Datos!BD21," - ")</f>
        <v>-0.1820595824536711</v>
      </c>
      <c r="I21" s="953">
        <f>IF(ISNUMBER((Tasas!C21-Datos!BE21)/Datos!BE21),(Tasas!C21-Datos!BE21)/Datos!BE21," - ")</f>
        <v>0.9727948215871326</v>
      </c>
      <c r="J21" s="954">
        <f>IF(ISNUMBER((Tasas!D21-Datos!BF21)/Datos!BF21),(Tasas!D21-Datos!BF21)/Datos!BF21," - ")</f>
        <v>-0.14568898270086725</v>
      </c>
      <c r="K21" s="954">
        <f>IF(ISNUMBER((Tasas!E21-Datos!BG21)/Datos!BG21),(Tasas!E21-Datos!BG21)/Datos!BG21," - ")</f>
        <v>0.63146627184107595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3czHOKBdqIdL0IcjqtH9YZJGXgAjKzlQBusbayaZxMGU42zQ8USGdS7KGLv6Eqc5rfjscv2WZkcw1z7uzSmOg==" saltValue="qM0iEBz4PDs8gl+Lfd5J0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ALBACETE</v>
      </c>
    </row>
    <row r="4" spans="1:7" ht="11.25" customHeight="1" thickBot="1">
      <c r="B4" s="403" t="str">
        <f>Criterios!A11 &amp;"  "&amp;Criterios!B11</f>
        <v>Resumenes por Partidos Judiciales  ALBACETE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1.2119437939110069</v>
      </c>
      <c r="C9" s="460">
        <f>IF(ISNUMBER(NºAsuntos!I9/NºAsuntos!G9),NºAsuntos!I9/NºAsuntos!G9," - ")</f>
        <v>4.832850241545894</v>
      </c>
      <c r="D9" s="461">
        <f>IF(ISNUMBER('Resol  Asuntos'!D9/NºAsuntos!G9),'Resol  Asuntos'!D9/NºAsuntos!G9," - ")</f>
        <v>0.32850241545893721</v>
      </c>
      <c r="E9" s="462">
        <f>IF(ISNUMBER((NºAsuntos!C9+NºAsuntos!E9)/NºAsuntos!G9),(NºAsuntos!C9+NºAsuntos!E9)/NºAsuntos!G9," - ")</f>
        <v>5.832850241545894</v>
      </c>
      <c r="G9" s="480"/>
    </row>
    <row r="10" spans="1:7">
      <c r="A10" s="414" t="str">
        <f>Datos!A10</f>
        <v>Jdos. Violencia contra la mujer</v>
      </c>
      <c r="B10" s="459">
        <f>IF(ISNUMBER(NºAsuntos!G10/NºAsuntos!E10),NºAsuntos!G10/NºAsuntos!E10," - ")</f>
        <v>0.59523809523809523</v>
      </c>
      <c r="C10" s="460">
        <f>IF(ISNUMBER(NºAsuntos!I10/NºAsuntos!G10),NºAsuntos!I10/NºAsuntos!G10," - ")</f>
        <v>4.2</v>
      </c>
      <c r="D10" s="461">
        <f>IF(ISNUMBER('Resol  Asuntos'!D10/NºAsuntos!G10),'Resol  Asuntos'!D10/NºAsuntos!G10," - ")</f>
        <v>0.48</v>
      </c>
      <c r="E10" s="462">
        <f>IF(ISNUMBER((NºAsuntos!C10+NºAsuntos!E10)/NºAsuntos!G10),(NºAsuntos!C10+NºAsuntos!E10)/NºAsuntos!G10," - ")</f>
        <v>5.2</v>
      </c>
      <c r="G10" s="480"/>
    </row>
    <row r="11" spans="1:7">
      <c r="A11" s="414" t="str">
        <f>Datos!A11</f>
        <v xml:space="preserve">Jdos. Familia                                   </v>
      </c>
      <c r="B11" s="459">
        <f>IF(ISNUMBER(NºAsuntos!G11/NºAsuntos!E11),NºAsuntos!G11/NºAsuntos!E11," - ")</f>
        <v>0.59759036144578315</v>
      </c>
      <c r="C11" s="460">
        <f>IF(ISNUMBER(NºAsuntos!I11/NºAsuntos!G11),NºAsuntos!I11/NºAsuntos!G11," - ")</f>
        <v>2.5846774193548385</v>
      </c>
      <c r="D11" s="461">
        <f>IF(ISNUMBER('Resol  Asuntos'!D11/NºAsuntos!G11),'Resol  Asuntos'!D11/NºAsuntos!G11," - ")</f>
        <v>0.24193548387096775</v>
      </c>
      <c r="E11" s="462">
        <f>IF(ISNUMBER((NºAsuntos!C11+NºAsuntos!E11)/NºAsuntos!G11),(NºAsuntos!C11+NºAsuntos!E11)/NºAsuntos!G11," - ")</f>
        <v>3.5846774193548385</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0.99771167048054921</v>
      </c>
      <c r="C14" s="1006">
        <f>IF(ISNUMBER(NºAsuntos!I14/NºAsuntos!G14),NºAsuntos!I14/NºAsuntos!G14," - ")</f>
        <v>4.3944954128440363</v>
      </c>
      <c r="D14" s="1007">
        <f>IF(ISNUMBER('Resol  Asuntos'!D14/NºAsuntos!G14),'Resol  Asuntos'!D14/NºAsuntos!G14," - ")</f>
        <v>0.3149847094801223</v>
      </c>
      <c r="E14" s="1008">
        <f>IF(ISNUMBER((NºAsuntos!C14+NºAsuntos!E14)/NºAsuntos!G14),(NºAsuntos!C14+NºAsuntos!E14)/NºAsuntos!G14," - ")</f>
        <v>5.3944954128440363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0.65806754221388364</v>
      </c>
      <c r="C16" s="460">
        <f>IF(ISNUMBER(NºAsuntos!I16/NºAsuntos!G16),NºAsuntos!I16/NºAsuntos!G16," - ")</f>
        <v>2.8937990021382753</v>
      </c>
      <c r="D16" s="461">
        <f>IF(ISNUMBER('Resol  Asuntos'!D16/NºAsuntos!G16),'Resol  Asuntos'!D16/NºAsuntos!G16," - ")</f>
        <v>0.16037063435495366</v>
      </c>
      <c r="E16" s="462">
        <f>IF(ISNUMBER((NºAsuntos!C16+NºAsuntos!E16)/NºAsuntos!G16),(NºAsuntos!C16+NºAsuntos!E16)/NºAsuntos!G16," - ")</f>
        <v>3.8831076265146116</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1.0086206896551724</v>
      </c>
      <c r="C18" s="460">
        <f>IF(ISNUMBER(NºAsuntos!I18/NºAsuntos!G18),NºAsuntos!I18/NºAsuntos!G18," - ")</f>
        <v>1.1623931623931625</v>
      </c>
      <c r="D18" s="461">
        <f>IF(ISNUMBER('Resol  Asuntos'!D18/NºAsuntos!G18),'Resol  Asuntos'!D18/NºAsuntos!G18," - ")</f>
        <v>2.1367521367521368E-2</v>
      </c>
      <c r="E18" s="462">
        <f>IF(ISNUMBER((NºAsuntos!C18+NºAsuntos!E18)/NºAsuntos!G18),(NºAsuntos!C18+NºAsuntos!E18)/NºAsuntos!G18," - ")</f>
        <v>2.1623931623931623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0.69247038917089676</v>
      </c>
      <c r="C20" s="1006">
        <f>IF(ISNUMBER(NºAsuntos!I20/NºAsuntos!G20),NºAsuntos!I20/NºAsuntos!G20," - ")</f>
        <v>2.6463042150274894</v>
      </c>
      <c r="D20" s="1009">
        <f>IF(ISNUMBER('Resol  Asuntos'!D20/NºAsuntos!G20),'Resol  Asuntos'!D20/NºAsuntos!G20," - ")</f>
        <v>0.14050091631032377</v>
      </c>
      <c r="E20" s="1008">
        <f>IF(ISNUMBER((NºAsuntos!C20+NºAsuntos!E20)/NºAsuntos!G20),(NºAsuntos!C20+NºAsuntos!E20)/NºAsuntos!G20," - ")</f>
        <v>3.6371411117898593</v>
      </c>
      <c r="G20" s="480"/>
    </row>
    <row r="21" spans="1:7" ht="15.75" customHeight="1" thickTop="1" thickBot="1">
      <c r="A21" s="940" t="str">
        <f>Datos!A21</f>
        <v>TOTAL JURISDICCIONES</v>
      </c>
      <c r="B21" s="955">
        <f>IF(ISNUMBER(NºAsuntos!G21/NºAsuntos!E21),NºAsuntos!G21/NºAsuntos!E21," - ")</f>
        <v>0.8013605442176871</v>
      </c>
      <c r="C21" s="956">
        <f>IF(ISNUMBER(NºAsuntos!I21/NºAsuntos!G21),NºAsuntos!I21/NºAsuntos!G21," - ")</f>
        <v>3.4227504244482172</v>
      </c>
      <c r="D21" s="957">
        <f>IF(ISNUMBER('Resol  Asuntos'!D21/NºAsuntos!G21),'Resol  Asuntos'!D21/NºAsuntos!G21," - ")</f>
        <v>0.21799660441426147</v>
      </c>
      <c r="E21" s="958">
        <f>IF(ISNUMBER((NºAsuntos!C21+NºAsuntos!E21)/NºAsuntos!G21),(NºAsuntos!C21+NºAsuntos!E21)/NºAsuntos!G21," - ")</f>
        <v>4.4176570458404072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rFFMko6VkqcS9eR0OPwuAq5mHyccEKwkHF7FqVvGLjNjhMVREi8GSY4rsPy59did3imna294UzhPpep+yde+g==" saltValue="OJs/ZhUS6zjuu9OFeF1N+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ALBACETE</v>
      </c>
      <c r="N2" s="339" t="str">
        <f>Criterios!A11 &amp;"  "&amp;Criterios!B11</f>
        <v>Resumenes por Partidos Judiciales  ALBACETE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272</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1585</v>
      </c>
      <c r="Y9" s="344">
        <f>SUM(W9:X9)</f>
        <v>1585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8494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340</v>
      </c>
      <c r="AJ9" s="234" t="str">
        <f>IF(ISNUMBER(Datos!BW9),Datos!BW9," - ")</f>
        <v xml:space="preserve"> - </v>
      </c>
      <c r="AK9" s="233" t="str">
        <f>IF(ISNUMBER(Datos!BX9),Datos!BX9," - ")</f>
        <v xml:space="preserve"> - </v>
      </c>
      <c r="AL9" s="248">
        <f>IF(ISNUMBER(NºAsuntos!G9/NºAsuntos!E9),NºAsuntos!G9/NºAsuntos!E9," - ")</f>
        <v>1.2119437939110069</v>
      </c>
      <c r="AM9" s="265">
        <f>IF(ISNUMBER(((NºAsuntos!I9/NºAsuntos!G9)*11)/factor_trimestre),((NºAsuntos!I9/NºAsuntos!G9)*11)/factor_trimestre," - ")</f>
        <v>14.498550724637683</v>
      </c>
      <c r="AN9" s="249">
        <f>IF(ISNUMBER('Resol  Asuntos'!D9/NºAsuntos!G9),'Resol  Asuntos'!D9/NºAsuntos!G9," - ")</f>
        <v>0.32850241545893721</v>
      </c>
      <c r="AO9" s="250">
        <f>IF(ISNUMBER((NºAsuntos!C9+NºAsuntos!E9)/NºAsuntos!G9),(NºAsuntos!C9+NºAsuntos!E9)/NºAsuntos!G9," - ")</f>
        <v>5.832850241545894</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88</v>
      </c>
      <c r="G10" s="343">
        <f>IF(ISNUMBER(Datos!I10),Datos!I10," - ")</f>
        <v>88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25</v>
      </c>
      <c r="X10" s="231">
        <f>IF(ISNUMBER(Datos!Q10),Datos!Q10," - ")</f>
        <v>13</v>
      </c>
      <c r="Y10" s="344">
        <f t="shared" ref="Y10:Y13" si="0">SUM(W10:X10)</f>
        <v>38</v>
      </c>
      <c r="Z10" s="345" t="str">
        <f>IF(ISNUMBER(Datos!CC10),Datos!CC10," - ")</f>
        <v xml:space="preserve"> - </v>
      </c>
      <c r="AA10" s="342">
        <f>IF(ISNUMBER(Datos!L10),Datos!L10,"-")</f>
        <v>105</v>
      </c>
      <c r="AB10" s="344">
        <f>IF(ISNUMBER(Datos!R10),Datos!R10," - ")</f>
        <v>74</v>
      </c>
      <c r="AC10" s="344">
        <f t="shared" ref="AC10:AC13" si="1">IF(ISNUMBER(AA10+AB10),AA10+AB10," - ")</f>
        <v>179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0.59523809523809523</v>
      </c>
      <c r="AM10" s="265">
        <f>IF(ISNUMBER(((NºAsuntos!I10/NºAsuntos!G10)*11)/factor_trimestre),((NºAsuntos!I10/NºAsuntos!G10)*11)/factor_trimestre," - ")</f>
        <v>12.600000000000001</v>
      </c>
      <c r="AN10" s="249">
        <f>IF(ISNUMBER('Resol  Asuntos'!D10/NºAsuntos!G10),'Resol  Asuntos'!D10/NºAsuntos!G10," - ")</f>
        <v>0.48</v>
      </c>
      <c r="AO10" s="250">
        <f>IF(ISNUMBER((NºAsuntos!C10+NºAsuntos!E10)/NºAsuntos!G10),(NºAsuntos!C10+NºAsuntos!E10)/NºAsuntos!G10," - ")</f>
        <v>5.2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7</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17</v>
      </c>
      <c r="Y11" s="344">
        <f t="shared" si="0"/>
        <v>17</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479</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60</v>
      </c>
      <c r="AJ11" s="236" t="str">
        <f>IF(ISNUMBER(Datos!BW11),Datos!BW11," - ")</f>
        <v xml:space="preserve"> - </v>
      </c>
      <c r="AK11" s="237" t="str">
        <f>IF(ISNUMBER(Datos!BX11),Datos!BX11," - ")</f>
        <v xml:space="preserve"> - </v>
      </c>
      <c r="AL11" s="248">
        <f>IF(ISNUMBER(NºAsuntos!G11/NºAsuntos!E11),NºAsuntos!G11/NºAsuntos!E11," - ")</f>
        <v>0.59759036144578315</v>
      </c>
      <c r="AM11" s="265">
        <f>IF(ISNUMBER(((NºAsuntos!I11/NºAsuntos!G11)*11)/factor_trimestre),((NºAsuntos!I11/NºAsuntos!G11)*11)/factor_trimestre," - ")</f>
        <v>7.754032258064516</v>
      </c>
      <c r="AN11" s="249">
        <f>IF(ISNUMBER('Resol  Asuntos'!D11/NºAsuntos!G11),'Resol  Asuntos'!D11/NºAsuntos!G11," - ")</f>
        <v>0.24193548387096775</v>
      </c>
      <c r="AO11" s="250">
        <f>IF(ISNUMBER((NºAsuntos!C11+NºAsuntos!E11)/NºAsuntos!G11),(NºAsuntos!C11+NºAsuntos!E11)/NºAsuntos!G11," - ")</f>
        <v>3.5846774193548385</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88</v>
      </c>
      <c r="G14" s="1013">
        <f t="shared" si="5"/>
        <v>88</v>
      </c>
      <c r="H14" s="1012">
        <f t="shared" si="5"/>
        <v>0</v>
      </c>
      <c r="I14" s="1014">
        <f t="shared" si="5"/>
        <v>0</v>
      </c>
      <c r="J14" s="1014">
        <f t="shared" si="5"/>
        <v>0</v>
      </c>
      <c r="K14" s="1014">
        <f t="shared" si="5"/>
        <v>0</v>
      </c>
      <c r="L14" s="1014">
        <f t="shared" si="5"/>
        <v>297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25</v>
      </c>
      <c r="X14" s="1014">
        <f t="shared" si="6"/>
        <v>1615</v>
      </c>
      <c r="Y14" s="1015">
        <f t="shared" si="6"/>
        <v>1640</v>
      </c>
      <c r="Z14" s="1015">
        <f t="shared" si="6"/>
        <v>0</v>
      </c>
      <c r="AA14" s="1015">
        <f t="shared" si="6"/>
        <v>105</v>
      </c>
      <c r="AB14" s="1015">
        <f t="shared" si="6"/>
        <v>9047</v>
      </c>
      <c r="AC14" s="1015">
        <f t="shared" si="6"/>
        <v>179</v>
      </c>
      <c r="AD14" s="1015">
        <f t="shared" si="6"/>
        <v>0</v>
      </c>
      <c r="AE14" s="1019">
        <f t="shared" si="6"/>
        <v>0</v>
      </c>
      <c r="AF14" s="1012">
        <f t="shared" si="6"/>
        <v>0</v>
      </c>
      <c r="AG14" s="1020">
        <f t="shared" si="6"/>
        <v>0</v>
      </c>
      <c r="AH14" s="1017">
        <f t="shared" si="6"/>
        <v>0</v>
      </c>
      <c r="AI14" s="1012">
        <f t="shared" si="6"/>
        <v>412</v>
      </c>
      <c r="AJ14" s="1014">
        <f t="shared" si="6"/>
        <v>0</v>
      </c>
      <c r="AK14" s="1017">
        <f>SUBTOTAL(9,AK9:AK13)</f>
        <v>0</v>
      </c>
      <c r="AL14" s="1021">
        <f>IF(ISNUMBER(NºAsuntos!G14/NºAsuntos!E14),NºAsuntos!G14/NºAsuntos!E14," - ")</f>
        <v>0.99771167048054921</v>
      </c>
      <c r="AM14" s="1021">
        <f>IF(ISNUMBER(((NºAsuntos!I14/NºAsuntos!G14)*11)/factor_trimestre),((NºAsuntos!I14/NºAsuntos!G14)*11)/factor_trimestre," - ")</f>
        <v>13.18348623853211</v>
      </c>
      <c r="AN14" s="1022">
        <f>IF(ISNUMBER('Resol  Asuntos'!D14/NºAsuntos!G14),'Resol  Asuntos'!D14/NºAsuntos!G14," - ")</f>
        <v>0.3149847094801223</v>
      </c>
      <c r="AO14" s="1023">
        <f>IF(ISNUMBER((NºAsuntos!C14+NºAsuntos!E14)/NºAsuntos!G14),(NºAsuntos!C14+NºAsuntos!E14)/NºAsuntos!G14," - ")</f>
        <v>5.3944954128440363</v>
      </c>
      <c r="AP14" s="1024" t="str">
        <f t="shared" si="2"/>
        <v xml:space="preserve"> - </v>
      </c>
      <c r="AQ14" s="1024">
        <f>IF(ISNUMBER((H14-W14+K14)/(F14)),(H14-W14+K14)/(F14)," - ")</f>
        <v>-0.28409090909090912</v>
      </c>
      <c r="AR14" s="1025">
        <f>IF(ISNUMBER((Datos!P14-Datos!Q14)/(Datos!R14-Datos!P14+Datos!Q14)),(Datos!P14-Datos!Q14)/(Datos!R14-Datos!P14+Datos!Q14)," - ")</f>
        <v>-0.12715870718765074</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3331</v>
      </c>
      <c r="G16" s="343">
        <f>IF(ISNUMBER(IF(D_I="SI",Datos!I16,Datos!I16+Datos!AC16)),IF(D_I="SI",Datos!I16,Datos!I16+Datos!AC16)," - ")</f>
        <v>3316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109</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1403</v>
      </c>
      <c r="X16" s="231">
        <f>IF(ISNUMBER(Datos!Q16),Datos!Q16," - ")</f>
        <v>80</v>
      </c>
      <c r="Y16" s="344">
        <f>SUM(W16)</f>
        <v>1403</v>
      </c>
      <c r="Z16" s="345" t="str">
        <f>IF(ISNUMBER(Datos!CC16),Datos!CC16," - ")</f>
        <v xml:space="preserve"> - </v>
      </c>
      <c r="AA16" s="342">
        <f>IF(ISNUMBER(IF(D_I="SI",Datos!L16,Datos!L16+Datos!AF16)),IF(D_I="SI",Datos!L16,Datos!L16+Datos!AF16)," - ")</f>
        <v>4060</v>
      </c>
      <c r="AB16" s="344">
        <f>IF(ISNUMBER(Datos!R16),Datos!R16," - ")</f>
        <v>540</v>
      </c>
      <c r="AC16" s="344">
        <f t="shared" ref="AC16:AC19" si="8">IF(ISNUMBER(AA16+AB16),AA16+AB16," - ")</f>
        <v>4600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225</v>
      </c>
      <c r="AJ16" s="236" t="str">
        <f>IF(ISNUMBER(Datos!BW16),Datos!BW16," - ")</f>
        <v xml:space="preserve"> - </v>
      </c>
      <c r="AK16" s="237" t="str">
        <f>IF(ISNUMBER(Datos!BX16),Datos!BX16," - ")</f>
        <v xml:space="preserve"> - </v>
      </c>
      <c r="AL16" s="248">
        <f>IF(ISNUMBER(NºAsuntos!G16/NºAsuntos!E16),NºAsuntos!G16/NºAsuntos!E16," - ")</f>
        <v>0.65806754221388364</v>
      </c>
      <c r="AM16" s="265">
        <f>IF(ISNUMBER(((NºAsuntos!I16/NºAsuntos!G16)*11)/factor_trimestre),((NºAsuntos!I16/NºAsuntos!G16)*11)/factor_trimestre," - ")</f>
        <v>8.6813970064148265</v>
      </c>
      <c r="AN16" s="249">
        <f>IF(ISNUMBER('Resol  Asuntos'!D16/NºAsuntos!G16),'Resol  Asuntos'!D16/NºAsuntos!G16," - ")</f>
        <v>0.16037063435495366</v>
      </c>
      <c r="AO16" s="250">
        <f>IF(ISNUMBER((NºAsuntos!C16+NºAsuntos!E16)/NºAsuntos!G16),(NºAsuntos!C16+NºAsuntos!E16)/NºAsuntos!G16," - ")</f>
        <v>3.8831076265146116</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274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234</v>
      </c>
      <c r="X18" s="231">
        <f>IF(ISNUMBER(Datos!Q18),Datos!Q18," - ")</f>
        <v>1</v>
      </c>
      <c r="Y18" s="344">
        <f t="shared" si="9"/>
        <v>235</v>
      </c>
      <c r="Z18" s="345" t="str">
        <f>IF(ISNUMBER(Datos!CC18),Datos!CC18," - ")</f>
        <v xml:space="preserve"> - </v>
      </c>
      <c r="AA18" s="342">
        <f>IF(ISNUMBER(Datos!L18),Datos!L18,"-")</f>
        <v>272</v>
      </c>
      <c r="AB18" s="344">
        <f>IF(ISNUMBER(Datos!R18),Datos!R18," - ")</f>
        <v>3</v>
      </c>
      <c r="AC18" s="344">
        <f t="shared" si="8"/>
        <v>275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1.0086206896551724</v>
      </c>
      <c r="AM18" s="265">
        <f>IF(ISNUMBER(((NºAsuntos!I18/NºAsuntos!G18)*11)/factor_trimestre),((NºAsuntos!I18/NºAsuntos!G18)*11)/factor_trimestre," - ")</f>
        <v>3.4871794871794877</v>
      </c>
      <c r="AN18" s="249">
        <f>IF(ISNUMBER('Resol  Asuntos'!D18/NºAsuntos!G18),'Resol  Asuntos'!D18/NºAsuntos!G18," - ")</f>
        <v>2.1367521367521368E-2</v>
      </c>
      <c r="AO18" s="250">
        <f>IF(ISNUMBER((NºAsuntos!C18+NºAsuntos!E18)/NºAsuntos!G18),(NºAsuntos!C18+NºAsuntos!E18)/NºAsuntos!G18," - ")</f>
        <v>2.1623931623931623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3331</v>
      </c>
      <c r="G20" s="1013">
        <f>SUBTOTAL(9,G16:G19)</f>
        <v>3590</v>
      </c>
      <c r="H20" s="1012">
        <f t="shared" ref="H20:O20" si="12">SUBTOTAL(9,H15:H19)</f>
        <v>0</v>
      </c>
      <c r="I20" s="1014">
        <f t="shared" si="12"/>
        <v>0</v>
      </c>
      <c r="J20" s="1014">
        <f t="shared" si="12"/>
        <v>0</v>
      </c>
      <c r="K20" s="1014">
        <f t="shared" si="12"/>
        <v>0</v>
      </c>
      <c r="L20" s="1014">
        <f t="shared" si="12"/>
        <v>113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1637</v>
      </c>
      <c r="X20" s="1014">
        <f t="shared" si="13"/>
        <v>81</v>
      </c>
      <c r="Y20" s="1015">
        <f t="shared" si="13"/>
        <v>1638</v>
      </c>
      <c r="Z20" s="1015">
        <f t="shared" si="13"/>
        <v>0</v>
      </c>
      <c r="AA20" s="1015">
        <f t="shared" si="13"/>
        <v>4332</v>
      </c>
      <c r="AB20" s="1015">
        <f t="shared" si="13"/>
        <v>543</v>
      </c>
      <c r="AC20" s="1015">
        <f t="shared" si="13"/>
        <v>4875</v>
      </c>
      <c r="AD20" s="1015">
        <f t="shared" si="13"/>
        <v>0</v>
      </c>
      <c r="AE20" s="1019">
        <f t="shared" si="13"/>
        <v>0</v>
      </c>
      <c r="AF20" s="1012">
        <f t="shared" si="13"/>
        <v>0</v>
      </c>
      <c r="AG20" s="1020">
        <f t="shared" si="13"/>
        <v>0</v>
      </c>
      <c r="AH20" s="1017">
        <f t="shared" si="13"/>
        <v>0</v>
      </c>
      <c r="AI20" s="1012">
        <f t="shared" si="13"/>
        <v>230</v>
      </c>
      <c r="AJ20" s="1014">
        <f t="shared" si="13"/>
        <v>0</v>
      </c>
      <c r="AK20" s="1017">
        <f t="shared" si="13"/>
        <v>0</v>
      </c>
      <c r="AL20" s="1021">
        <f>IF(ISNUMBER(NºAsuntos!G20/NºAsuntos!E20),NºAsuntos!G20/NºAsuntos!E20," - ")</f>
        <v>0.69247038917089676</v>
      </c>
      <c r="AM20" s="1021">
        <f>IF(ISNUMBER(((NºAsuntos!I20/NºAsuntos!G20)*11)/factor_trimestre),((NºAsuntos!I20/NºAsuntos!G20)*11)/factor_trimestre," - ")</f>
        <v>7.9389126450824685</v>
      </c>
      <c r="AN20" s="1022">
        <f>IF(ISNUMBER('Resol  Asuntos'!D20/NºAsuntos!G20),'Resol  Asuntos'!D20/NºAsuntos!G20," - ")</f>
        <v>0.14050091631032377</v>
      </c>
      <c r="AO20" s="1023">
        <f>IF(ISNUMBER((NºAsuntos!C20+NºAsuntos!E20)/NºAsuntos!G20),(NºAsuntos!C20+NºAsuntos!E20)/NºAsuntos!G20," - ")</f>
        <v>3.6371411117898593</v>
      </c>
      <c r="AP20" s="1024" t="str">
        <f t="shared" si="2"/>
        <v xml:space="preserve"> - </v>
      </c>
      <c r="AQ20" s="1024">
        <f>IF(ISNUMBER((H20-W20+K20)/(F20)),(H20-W20+K20)/(F20)," - ")</f>
        <v>-0.49144401080756528</v>
      </c>
      <c r="AR20" s="1025">
        <f>IF(ISNUMBER((Datos!P20-Datos!Q20)/(Datos!R20-Datos!P20+Datos!Q20)),(Datos!P20-Datos!Q20)/(Datos!R20-Datos!P20+Datos!Q20)," - ")</f>
        <v>6.262230919765166E-2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13</v>
      </c>
      <c r="F21" s="967">
        <f t="shared" si="15"/>
        <v>3419</v>
      </c>
      <c r="G21" s="968">
        <f t="shared" si="15"/>
        <v>3678</v>
      </c>
      <c r="H21" s="967">
        <f t="shared" si="15"/>
        <v>0</v>
      </c>
      <c r="I21" s="969">
        <f t="shared" si="15"/>
        <v>0</v>
      </c>
      <c r="J21" s="969">
        <f t="shared" si="15"/>
        <v>0</v>
      </c>
      <c r="K21" s="1028">
        <f t="shared" si="15"/>
        <v>0</v>
      </c>
      <c r="L21" s="969">
        <f t="shared" si="15"/>
        <v>410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1662</v>
      </c>
      <c r="X21" s="968">
        <f t="shared" si="16"/>
        <v>1696</v>
      </c>
      <c r="Y21" s="975">
        <f t="shared" si="16"/>
        <v>3278</v>
      </c>
      <c r="Z21" s="975">
        <f t="shared" si="16"/>
        <v>0</v>
      </c>
      <c r="AA21" s="975">
        <f t="shared" si="16"/>
        <v>4437</v>
      </c>
      <c r="AB21" s="975">
        <f t="shared" si="16"/>
        <v>9590</v>
      </c>
      <c r="AC21" s="975">
        <f t="shared" si="16"/>
        <v>5054</v>
      </c>
      <c r="AD21" s="975">
        <f t="shared" si="16"/>
        <v>0</v>
      </c>
      <c r="AE21" s="977">
        <f t="shared" si="16"/>
        <v>0</v>
      </c>
      <c r="AF21" s="978">
        <f t="shared" si="16"/>
        <v>0</v>
      </c>
      <c r="AG21" s="979">
        <f t="shared" si="16"/>
        <v>0</v>
      </c>
      <c r="AH21" s="977">
        <f t="shared" si="16"/>
        <v>0</v>
      </c>
      <c r="AI21" s="967">
        <f t="shared" si="16"/>
        <v>642</v>
      </c>
      <c r="AJ21" s="967">
        <f t="shared" si="16"/>
        <v>0</v>
      </c>
      <c r="AK21" s="977">
        <f t="shared" si="16"/>
        <v>0</v>
      </c>
      <c r="AL21" s="1031">
        <f>IF(ISNUMBER(NºAsuntos!G21/NºAsuntos!E21),NºAsuntos!G21/NºAsuntos!E21," - ")</f>
        <v>0.8013605442176871</v>
      </c>
      <c r="AM21" s="1032">
        <f>IF(ISNUMBER(((NºAsuntos!I21/NºAsuntos!G21)*11)/factor_trimestre),((NºAsuntos!I21/NºAsuntos!G21)*11)/factor_trimestre," - ")</f>
        <v>10.268251273344651</v>
      </c>
      <c r="AN21" s="1032">
        <f>IF(ISNUMBER('Resol  Asuntos'!D21/NºAsuntos!G21),'Resol  Asuntos'!D21/NºAsuntos!G21," - ")</f>
        <v>0.21799660441426147</v>
      </c>
      <c r="AO21" s="1033">
        <f>IF(ISNUMBER((NºAsuntos!C21+NºAsuntos!E21)/NºAsuntos!G21),(NºAsuntos!C21+NºAsuntos!E21)/NºAsuntos!G21," - ")</f>
        <v>4.4176570458404072</v>
      </c>
      <c r="AP21" s="1034" t="str">
        <f t="shared" si="2"/>
        <v xml:space="preserve"> - </v>
      </c>
      <c r="AQ21" s="1035">
        <f>IF(OR(ISNUMBER(FIND("01",Criterios!A8,1)),ISNUMBER(FIND("02",Criterios!A8,1)),ISNUMBER(FIND("03",Criterios!A8,1)),ISNUMBER(FIND("04",Criterios!A8,1))),(I21-W21+K21)/(F21-K21),(H21-W21+K21)/(F21-K21))</f>
        <v>-0.48610704884469141</v>
      </c>
      <c r="AR21" s="1036">
        <f>IF(ISNUMBER((Datos!P21-Datos!Q21)/(Datos!R21-Datos!P21+Datos!Q21)),(Datos!P21-Datos!Q21)/(Datos!R21-Datos!P21+Datos!Q21)," - ")</f>
        <v>-0.11824200073556454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1471.2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2.9418608829354005</v>
      </c>
      <c r="F23" s="257">
        <f>IF(ISNUMBER(STDEV(F8:F20)),STDEV(F8:F20),"-")</f>
        <v>1872.3469229819564</v>
      </c>
      <c r="G23" s="258">
        <f>IF(ISNUMBER(STDEV(G8:G20)),STDEV(G8:G20),"-")</f>
        <v>1813.3100121049351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789.68170803178668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161.82074150414829</v>
      </c>
      <c r="AJ23" s="257">
        <f t="shared" si="20"/>
        <v>0</v>
      </c>
      <c r="AK23" s="259">
        <f t="shared" si="20"/>
        <v>0</v>
      </c>
      <c r="AL23" s="254">
        <f t="shared" si="20"/>
        <v>0.24602916812865905</v>
      </c>
      <c r="AM23" s="255">
        <f t="shared" si="20"/>
        <v>3.8748591577895595</v>
      </c>
      <c r="AN23" s="255">
        <f t="shared" si="20"/>
        <v>0.15005099612530556</v>
      </c>
      <c r="AO23" s="256">
        <f t="shared" si="20"/>
        <v>1.2928205398096932</v>
      </c>
      <c r="AP23" s="296" t="str">
        <f t="shared" si="20"/>
        <v>-</v>
      </c>
      <c r="AQ23" s="297">
        <f t="shared" si="20"/>
        <v>0.14662078432391146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Xg3IB+DRzwF6FJgAuQLeK9IswU5qMITw8pbYJGZxcIHHIArluwCzH690L2Z0e438zmeBhoz8EHUFYhfDdqrVg==" saltValue="72nAO6U/5/1/1ECAN0Y4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ALBACETE</v>
      </c>
      <c r="E3" s="268"/>
    </row>
    <row r="4" spans="2:20" ht="17.25" customHeight="1" thickBot="1">
      <c r="D4" s="267" t="str">
        <f>Criterios!A11 &amp;"  "&amp;Criterios!B11</f>
        <v>Resumenes por Partidos Judiciales  ALBACETE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-0.47772657450076805</v>
      </c>
      <c r="I9" s="360">
        <f>IF(ISNUMBER((Tasas!C9-Datos!BE9)/Datos!BE9),(Tasas!C9-Datos!BE9)/Datos!BE9," - ")</f>
        <v>1.0006131793676567</v>
      </c>
      <c r="J9" s="359">
        <f>IF(ISNUMBER((Tasas!D9-Datos!BF9)/Datos!BF9),(Tasas!D9-Datos!BF9)/Datos!BF9," - ")</f>
        <v>7.9994528319546288E-2</v>
      </c>
      <c r="K9" s="361">
        <f>IF(ISNUMBER((Tasas!E9-Datos!BG9)/Datos!BG9),(Tasas!E9-Datos!BG9)/Datos!BG9," - ")</f>
        <v>0.73788055549030818</v>
      </c>
      <c r="M9" t="e">
        <f>IF(Monitorios="SI",Datos!CE9,0)</f>
        <v>#REF!</v>
      </c>
      <c r="N9" t="e">
        <f>IF(Monitorios="SI",Datos!CF9,0)</f>
        <v>#REF!</v>
      </c>
      <c r="O9" t="e">
        <f>IF(Monitorios="SI",Datos!CG9,0)</f>
        <v>#REF!</v>
      </c>
      <c r="P9" t="e">
        <f>IF(Monitorios="SI",Datos!CH9,0)</f>
        <v>#REF!</v>
      </c>
      <c r="Q9">
        <f>IF(J_V="SI",0,Datos!AG9)</f>
        <v>227</v>
      </c>
      <c r="R9">
        <f>IF(J_V="SI",0,Datos!AH9)</f>
        <v>139</v>
      </c>
      <c r="S9">
        <f>IF(J_V="SI",0,Datos!AI9)</f>
        <v>178</v>
      </c>
      <c r="T9">
        <f>IF(J_V="SI",0,Datos!AJ9)</f>
        <v>178</v>
      </c>
    </row>
    <row r="10" spans="2:20" ht="14.25">
      <c r="B10" s="280" t="s">
        <v>273</v>
      </c>
      <c r="C10" s="7" t="str">
        <f>Datos!A10</f>
        <v>Jdos. Violencia contra la mujer</v>
      </c>
      <c r="D10" s="362">
        <f>IF(ISNUMBER((Datos!I10-Datos!S10)/Datos!S10),(Datos!I10-Datos!S10)/Datos!S10," - ")</f>
        <v>0.1</v>
      </c>
      <c r="E10" s="358">
        <f>IF(ISNUMBER((Datos!J10-Datos!T10)/Datos!T10),(Datos!J10-Datos!T10)/Datos!T10," - ")</f>
        <v>-0.125</v>
      </c>
      <c r="F10" s="358">
        <f>IF(ISNUMBER((Datos!K10-Datos!U10)/Datos!U10),(Datos!K10-Datos!U10)/Datos!U10," - ")</f>
        <v>-0.26470588235294118</v>
      </c>
      <c r="G10" s="359">
        <f>IF(ISNUMBER((Datos!L10-Datos!V10)/Datos!V10),(Datos!L10-Datos!V10)/Datos!V10," - ")</f>
        <v>0.11702127659574468</v>
      </c>
      <c r="H10" s="235">
        <f>IF(ISNUMBER((Datos!M10-Datos!W10)/Datos!W10),(Datos!M10-Datos!W10)/Datos!W10," - ")</f>
        <v>0</v>
      </c>
      <c r="I10" s="360">
        <f>IF(ISNUMBER((Tasas!C10-Datos!BE10)/Datos!BE10),(Tasas!C10-Datos!BE10)/Datos!BE10," - ")</f>
        <v>0.51914893617021285</v>
      </c>
      <c r="J10" s="359">
        <f>IF(ISNUMBER((Tasas!D10-Datos!BF10)/Datos!BF10),(Tasas!D10-Datos!BF10)/Datos!BF10," - ")</f>
        <v>0.35999999999999988</v>
      </c>
      <c r="K10" s="361">
        <f>IF(ISNUMBER((Tasas!E10-Datos!BG10)/Datos!BG10),(Tasas!E10-Datos!BG10)/Datos!BG10," - ")</f>
        <v>0.38125000000000009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-0.68586387434554974</v>
      </c>
      <c r="I11" s="360">
        <f>IF(ISNUMBER((Tasas!C11-Datos!BE11)/Datos!BE11),(Tasas!C11-Datos!BE11)/Datos!BE11," - ")</f>
        <v>1.7302223614155965</v>
      </c>
      <c r="J11" s="359">
        <f>IF(ISNUMBER((Tasas!D11-Datos!BF11)/Datos!BF11),(Tasas!D11-Datos!BF11)/Datos!BF11," - ")</f>
        <v>-0.44931839654474287</v>
      </c>
      <c r="K11" s="361">
        <f>IF(ISNUMBER((Tasas!E11-Datos!BG11)/Datos!BG11),(Tasas!E11-Datos!BG11)/Datos!BG11," - ")</f>
        <v>0.84142069511712192</v>
      </c>
      <c r="M11" t="e">
        <f>IF(Monitorios="SI",Datos!CE11,0)</f>
        <v>#REF!</v>
      </c>
      <c r="N11" t="e">
        <f>IF(Monitorios="SI",Datos!CF11,0)</f>
        <v>#REF!</v>
      </c>
      <c r="O11" t="e">
        <f>IF(Monitorios="SI",Datos!CG11,0)</f>
        <v>#REF!</v>
      </c>
      <c r="P11" t="e">
        <f>IF(Monitorios="SI",Datos!CH11,0)</f>
        <v>#REF!</v>
      </c>
      <c r="Q11">
        <f>IF(J_V="SI",0,Datos!AG11)</f>
        <v>47</v>
      </c>
      <c r="R11">
        <f>IF(J_V="SI",0,Datos!AH11)</f>
        <v>196</v>
      </c>
      <c r="S11">
        <f>IF(J_V="SI",0,Datos!AI11)</f>
        <v>202</v>
      </c>
      <c r="T11">
        <f>IF(J_V="SI",0,Datos!AJ11)</f>
        <v>41</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-0.51756440281030447</v>
      </c>
      <c r="I14" s="367">
        <f>IF(ISNUMBER((Tasas!C14-Datos!BE14)/Datos!BE14),(Tasas!C14-Datos!BE14)/Datos!BE14," - ")</f>
        <v>1.0603360103330748</v>
      </c>
      <c r="J14" s="365">
        <f>IF(ISNUMBER((Tasas!D14-Datos!BF14)/Datos!BF14),(Tasas!D14-Datos!BF14)/Datos!BF14," - ")</f>
        <v>-4.8896495452645856E-2</v>
      </c>
      <c r="K14" s="368">
        <f>IF(ISNUMBER((Tasas!E14-Datos!BG14)/Datos!BG14),(Tasas!E14-Datos!BG14)/Datos!BG14," - ")</f>
        <v>0.74814052256521901</v>
      </c>
      <c r="M14" t="e">
        <f>IF(Monitorios="SI",Datos!CE14,0)</f>
        <v>#REF!</v>
      </c>
      <c r="N14" t="e">
        <f>IF(Monitorios="SI",Datos!CF14,0)</f>
        <v>#REF!</v>
      </c>
      <c r="O14" t="e">
        <f>IF(Monitorios="SI",Datos!CG14,0)</f>
        <v>#REF!</v>
      </c>
      <c r="P14" t="e">
        <f>IF(Monitorios="SI",Datos!CH14,0)</f>
        <v>#REF!</v>
      </c>
      <c r="Q14">
        <f>IF(J_V="SI",0,Datos!AG14)</f>
        <v>274</v>
      </c>
      <c r="R14">
        <f>IF(J_V="SI",0,Datos!AH14)</f>
        <v>335</v>
      </c>
      <c r="S14">
        <f>IF(J_V="SI",0,Datos!AI14)</f>
        <v>380</v>
      </c>
      <c r="T14">
        <f>IF(J_V="SI",0,Datos!AJ14)</f>
        <v>219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0.20144927536231885</v>
      </c>
      <c r="E16" s="358">
        <f>IF(ISNUMBER(
   IF(D_I="SI",(Datos!J16-Datos!T16)/Datos!T16,(Datos!J16+Datos!AD16-(Datos!T16+Datos!AL16))/(Datos!T16+Datos!AL16))
     ),IF(D_I="SI",(Datos!J16-Datos!T16)/Datos!T16,(Datos!J16+Datos!AD16-(Datos!T16+Datos!AL16))/(Datos!T16+Datos!AL16))," - ")</f>
        <v>9.7837281153450056E-2</v>
      </c>
      <c r="F16" s="358">
        <f>IF(ISNUMBER(
   IF(D_I="SI",(Datos!K16-Datos!U16)/Datos!U16,(Datos!K16+Datos!AE16-(Datos!U16+Datos!AM16))/(Datos!U16+Datos!AM16))
     ),IF(D_I="SI",(Datos!K16-Datos!U16)/Datos!U16,(Datos!K16+Datos!AE16-(Datos!U16+Datos!AM16))/(Datos!U16+Datos!AM16))," - ")</f>
        <v>-0.32287644787644787</v>
      </c>
      <c r="G16" s="359">
        <f>IF(ISNUMBER(
   IF(D_I="SI",(Datos!L16-Datos!V16)/Datos!V16,(Datos!L16+Datos!AF16-(Datos!V16+Datos!AN16))/(Datos!V16+Datos!AN16))
     ),IF(D_I="SI",(Datos!L16-Datos!V16)/Datos!V16,(Datos!L16+Datos!AF16-(Datos!V16+Datos!AN16))/(Datos!V16+Datos!AN16))," - ")</f>
        <v>0.54021244309559935</v>
      </c>
      <c r="H16" s="235">
        <f>IF(ISNUMBER((Datos!M16-Datos!W16)/Datos!W16),(Datos!M16-Datos!W16)/Datos!W16," - ")</f>
        <v>-0.38692098092643051</v>
      </c>
      <c r="I16" s="360">
        <f>IF(ISNUMBER((Tasas!C16-Datos!BE16)/Datos!BE16),(Tasas!C16-Datos!BE16)/Datos!BE16," - ")</f>
        <v>1.2746401868097521</v>
      </c>
      <c r="J16" s="359">
        <f>IF(ISNUMBER((Tasas!D16-Datos!BF16)/Datos!BF16),(Tasas!D16-Datos!BF16)/Datos!BF16," - ")</f>
        <v>-9.4583230562768461E-2</v>
      </c>
      <c r="K16" s="361">
        <f>IF(ISNUMBER((Tasas!E16-Datos!BG16)/Datos!BG16),(Tasas!E16-Datos!BG16)/Datos!BG16," - ")</f>
        <v>0.71114398173931825</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0.22869955156950672</v>
      </c>
      <c r="E18" s="358">
        <f>IF(ISNUMBER(
   IF(D_I="SI",(Datos!J18-Datos!T18)/Datos!T18,(Datos!J18+Datos!AD18-(Datos!T18+Datos!AL18))/(Datos!T18+Datos!AL18))
     ),IF(D_I="SI",(Datos!J18-Datos!T18)/Datos!T18,(Datos!J18+Datos!AD18-(Datos!T18+Datos!AL18))/(Datos!T18+Datos!AL18))," - ")</f>
        <v>2.6548672566371681E-2</v>
      </c>
      <c r="F18" s="358">
        <f>IF(ISNUMBER(
   IF(D_I="SI",(Datos!K18-Datos!U18)/Datos!U18,(Datos!K18+Datos!AE18-(Datos!U18+Datos!AM18))/(Datos!U18+Datos!AM18))
     ),IF(D_I="SI",(Datos!K18-Datos!U18)/Datos!U18,(Datos!K18+Datos!AE18-(Datos!U18+Datos!AM18))/(Datos!U18+Datos!AM18))," - ")</f>
        <v>6.8493150684931503E-2</v>
      </c>
      <c r="G18" s="359">
        <f>IF(ISNUMBER(
   IF(D_I="SI",(Datos!L18-Datos!V18)/Datos!V18,(Datos!L18+Datos!AF18-(Datos!V18+Datos!AN18))/(Datos!V18+Datos!AN18))
     ),IF(D_I="SI",(Datos!L18-Datos!V18)/Datos!V18,(Datos!L18+Datos!AF18-(Datos!V18+Datos!AN18))/(Datos!V18+Datos!AN18))," - ")</f>
        <v>0.1774891774891775</v>
      </c>
      <c r="H18" s="235">
        <f>IF(ISNUMBER((Datos!M18-Datos!W18)/Datos!W18),(Datos!M18-Datos!W18)/Datos!W18," - ")</f>
        <v>-0.16666666666666666</v>
      </c>
      <c r="I18" s="360">
        <f>IF(ISNUMBER((Tasas!C18-Datos!BE18)/Datos!BE18),(Tasas!C18-Datos!BE18)/Datos!BE18," - ")</f>
        <v>0.1020091020091021</v>
      </c>
      <c r="J18" s="359">
        <f>IF(ISNUMBER((Tasas!D18-Datos!BF18)/Datos!BF18),(Tasas!D18-Datos!BF18)/Datos!BF18," - ")</f>
        <v>-0.22008547008547003</v>
      </c>
      <c r="K18" s="361">
        <f>IF(ISNUMBER((Tasas!E18-Datos!BG18)/Datos!BG18),(Tasas!E18-Datos!BG18)/Datos!BG18," - ")</f>
        <v>5.4708468962366419E-2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0.2034864230640295</v>
      </c>
      <c r="E20" s="364">
        <f>IF(ISNUMBER(
   IF(D_I="SI",(Datos!J20-Datos!T20)/Datos!T20,(Datos!J20+Datos!AD20-(Datos!T20+Datos!AL20))/(Datos!T20+Datos!AL20))
     ),IF(D_I="SI",(Datos!J20-Datos!T20)/Datos!T20,(Datos!J20+Datos!AD20-(Datos!T20+Datos!AL20))/(Datos!T20+Datos!AL20))," - ")</f>
        <v>9.0405904059040587E-2</v>
      </c>
      <c r="F20" s="364">
        <f>IF(ISNUMBER(
   IF(D_I="SI",(Datos!K20-Datos!U20)/Datos!U20,(Datos!K20+Datos!AE20-(Datos!U20+Datos!AM20))/(Datos!U20+Datos!AM20))
     ),IF(D_I="SI",(Datos!K20-Datos!U20)/Datos!U20,(Datos!K20+Datos!AE20-(Datos!U20+Datos!AM20))/(Datos!U20+Datos!AM20))," - ")</f>
        <v>-0.28546486250545611</v>
      </c>
      <c r="G20" s="365">
        <f>IF(ISNUMBER(
   IF(D_I="SI",(Datos!L20-Datos!V20)/Datos!V20,(Datos!L20+Datos!AF20-(Datos!V20+Datos!AN20))/(Datos!V20+Datos!AN20))
     ),IF(D_I="SI",(Datos!L20-Datos!V20)/Datos!V20,(Datos!L20+Datos!AF20-(Datos!V20+Datos!AN20))/(Datos!V20+Datos!AN20))," - ")</f>
        <v>0.51098709452389257</v>
      </c>
      <c r="H20" s="366">
        <f>IF(ISNUMBER((Datos!M20-Datos!W20)/Datos!W20),(Datos!M20-Datos!W20)/Datos!W20," - ")</f>
        <v>-0.38337801608579086</v>
      </c>
      <c r="I20" s="367">
        <f>IF(ISNUMBER((Tasas!C20-Datos!BE20)/Datos!BE20),(Tasas!C20-Datos!BE20)/Datos!BE20," - ")</f>
        <v>1.1146435146940976</v>
      </c>
      <c r="J20" s="365">
        <f>IF(ISNUMBER((Tasas!D20-Datos!BF20)/Datos!BF20),(Tasas!D20-Datos!BF20)/Datos!BF20," - ")</f>
        <v>-0.13703056496795779</v>
      </c>
      <c r="K20" s="368">
        <f>IF(ISNUMBER((Tasas!E20-Datos!BG20)/Datos!BG20),(Tasas!E20-Datos!BG20)/Datos!BG20," - ")</f>
        <v>0.6176840006038764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9.0282644241999527E-2</v>
      </c>
      <c r="E21" s="373">
        <f>IF(ISNUMBER(
   IF(J_V="SI",(Datos!J21-Datos!T21)/Datos!T21,(Datos!J21+Datos!Z21-(Datos!T21+Datos!AH21))/(Datos!T21+Datos!AH21))
     ),IF(J_V="SI",(Datos!J21-Datos!T21)/Datos!T21,(Datos!J21+Datos!Z21-(Datos!T21+Datos!AH21))/(Datos!T21+Datos!AH21))," - ")</f>
        <v>-0.29054054054054052</v>
      </c>
      <c r="F21" s="373">
        <f>IF(ISNUMBER(
   IF(J_V="SI",(Datos!K21-Datos!U21)/Datos!U21,(Datos!K21+Datos!AA21-(Datos!U21+Datos!AI21))/(Datos!U21+Datos!AI21))
     ),IF(J_V="SI",(Datos!K21-Datos!U21)/Datos!U21,(Datos!K21+Datos!AA21-(Datos!U21+Datos!AI21))/(Datos!U21+Datos!AI21))," - ")</f>
        <v>-0.41970443349753694</v>
      </c>
      <c r="G21" s="374">
        <f>IF(ISNUMBER(
   IF(J_V="SI",(Datos!L21-Datos!V21)/Datos!V21,(Datos!L21+Datos!AB21-(Datos!V21+Datos!AJ21))/(Datos!V21+Datos!AJ21))
     ),IF(J_V="SI",(Datos!L21-Datos!V21)/Datos!V21,(Datos!L21+Datos!AB21-(Datos!V21+Datos!AJ21))/(Datos!V21+Datos!AJ21))," - ")</f>
        <v>0.14480408858603067</v>
      </c>
      <c r="H21" s="375">
        <f>IF(ISNUMBER((Datos!M21-Datos!W21)/Datos!W21),(Datos!M21-Datos!W21)/Datos!W21," - ")</f>
        <v>-0.47677261613691929</v>
      </c>
      <c r="I21" s="372">
        <f>IF(ISNUMBER((Tasas!C21-Datos!BE21)/Datos!BE21),(Tasas!C21-Datos!BE21)/Datos!BE21," - ")</f>
        <v>0.9727948215871326</v>
      </c>
      <c r="J21" s="373">
        <f>IF(ISNUMBER((Tasas!D21-Datos!BF21)/Datos!BF21),(Tasas!D21-Datos!BF21)/Datos!BF21," - ")</f>
        <v>-0.14568898270086725</v>
      </c>
      <c r="K21" s="374">
        <f>IF(ISNUMBER((Tasas!E21-Datos!BG21)/Datos!BG21),(Tasas!E21-Datos!BG21)/Datos!BG21," - ")</f>
        <v>0.63146627184107595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5.6970313305468916E-2</v>
      </c>
      <c r="E23" s="283">
        <f t="shared" si="1"/>
        <v>0.10337560746524176</v>
      </c>
      <c r="F23" s="283">
        <f t="shared" si="1"/>
        <v>0.18135885468398091</v>
      </c>
      <c r="G23" s="284">
        <f t="shared" si="1"/>
        <v>0.2201513390858621</v>
      </c>
      <c r="H23" s="290">
        <f t="shared" si="1"/>
        <v>0.22794261854826076</v>
      </c>
      <c r="I23" s="282">
        <f t="shared" si="1"/>
        <v>0.5255820271997439</v>
      </c>
      <c r="J23" s="283">
        <f t="shared" si="1"/>
        <v>0.25142678127840584</v>
      </c>
      <c r="K23" s="284">
        <f t="shared" si="1"/>
        <v>0.27551209535298904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P6z08tDyBbDWZlG8CwpcUeY4alJL7oK3SZPgj+ZE5eI1vyvZrk1kJTWID0rHVis65nUsott9FinkPZZZEH6ag==" saltValue="Ox7Ij5yEfxIOHH21xjL+X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